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eduhikt-my.sharepoint.com/personal/trond_arne_borresen_edu_stange_kommune_no/Documents/Administrasjon/Rådgiver/Skole- og barnehagestruktur 2024/PDF til publisering/Andre filer til publisering/"/>
    </mc:Choice>
  </mc:AlternateContent>
  <xr:revisionPtr revIDLastSave="0" documentId="8_{C9983002-2B95-4AB2-BFE5-5EF7C6F6E4EC}" xr6:coauthVersionLast="47" xr6:coauthVersionMax="47" xr10:uidLastSave="{00000000-0000-0000-0000-000000000000}"/>
  <bookViews>
    <workbookView xWindow="28695" yWindow="0" windowWidth="51405" windowHeight="20985" activeTab="2" xr2:uid="{00000000-000D-0000-FFFF-FFFF00000000}"/>
  </bookViews>
  <sheets>
    <sheet name="Barnehagedrift" sheetId="3" r:id="rId1"/>
    <sheet name="Barnehage-bygg og oppsummering" sheetId="4" r:id="rId2"/>
    <sheet name="Etterbruk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2" i="4" l="1"/>
  <c r="Q53" i="4"/>
  <c r="Q54" i="4"/>
  <c r="Q55" i="4"/>
  <c r="Q56" i="4"/>
  <c r="Q57" i="4"/>
  <c r="Q58" i="4"/>
  <c r="Q51" i="4"/>
  <c r="O39" i="4"/>
  <c r="O38" i="4"/>
  <c r="O37" i="4"/>
  <c r="O36" i="4"/>
  <c r="O41" i="4" s="1"/>
  <c r="P41" i="4" s="1"/>
  <c r="K55" i="4" s="1"/>
  <c r="O44" i="4"/>
  <c r="O43" i="4"/>
  <c r="O42" i="4"/>
  <c r="G41" i="3"/>
  <c r="F40" i="3"/>
  <c r="E37" i="3"/>
  <c r="D35" i="3"/>
  <c r="G56" i="4"/>
  <c r="F55" i="4"/>
  <c r="N44" i="4"/>
  <c r="N43" i="4"/>
  <c r="N42" i="4"/>
  <c r="N41" i="4"/>
  <c r="M35" i="4"/>
  <c r="O20" i="3"/>
  <c r="G43" i="3"/>
  <c r="O24" i="3" s="1"/>
  <c r="M39" i="4" s="1"/>
  <c r="D5" i="3"/>
  <c r="D13" i="3" s="1"/>
  <c r="N27" i="3" s="1"/>
  <c r="F40" i="4"/>
  <c r="C43" i="4"/>
  <c r="F58" i="4"/>
  <c r="O64" i="4" s="1"/>
  <c r="C37" i="4"/>
  <c r="E37" i="4"/>
  <c r="D35" i="4"/>
  <c r="E22" i="4"/>
  <c r="D20" i="4"/>
  <c r="E7" i="4"/>
  <c r="D5" i="4"/>
  <c r="E7" i="3"/>
  <c r="K11" i="4"/>
  <c r="G11" i="4" s="1"/>
  <c r="E58" i="4"/>
  <c r="O63" i="4" s="1"/>
  <c r="F25" i="4"/>
  <c r="F10" i="4"/>
  <c r="L11" i="3"/>
  <c r="K11" i="3"/>
  <c r="L9" i="3"/>
  <c r="K9" i="3"/>
  <c r="G11" i="3"/>
  <c r="G13" i="3" s="1"/>
  <c r="E13" i="3"/>
  <c r="N28" i="3" s="1"/>
  <c r="C13" i="3"/>
  <c r="G58" i="4"/>
  <c r="O65" i="4" s="1"/>
  <c r="B56" i="4"/>
  <c r="B55" i="4"/>
  <c r="B51" i="4"/>
  <c r="B52" i="4"/>
  <c r="B53" i="4"/>
  <c r="B54" i="4"/>
  <c r="B50" i="4"/>
  <c r="B35" i="4"/>
  <c r="C20" i="4"/>
  <c r="F20" i="4" s="1"/>
  <c r="D58" i="4"/>
  <c r="C54" i="4"/>
  <c r="C53" i="4"/>
  <c r="C52" i="4"/>
  <c r="C51" i="4"/>
  <c r="C50" i="4"/>
  <c r="I11" i="5"/>
  <c r="I12" i="5"/>
  <c r="I13" i="5"/>
  <c r="I14" i="5"/>
  <c r="I10" i="5"/>
  <c r="I19" i="5"/>
  <c r="I20" i="5"/>
  <c r="I21" i="5"/>
  <c r="I22" i="5"/>
  <c r="I18" i="5"/>
  <c r="J13" i="5"/>
  <c r="J14" i="5"/>
  <c r="J22" i="5"/>
  <c r="J21" i="5"/>
  <c r="J20" i="5"/>
  <c r="J19" i="5"/>
  <c r="J18" i="5"/>
  <c r="J11" i="5"/>
  <c r="J12" i="5"/>
  <c r="J10" i="5"/>
  <c r="Q6" i="4"/>
  <c r="L5" i="4"/>
  <c r="E21" i="5"/>
  <c r="F21" i="5"/>
  <c r="G21" i="5"/>
  <c r="P36" i="4" l="1"/>
  <c r="K51" i="4" s="1"/>
  <c r="G26" i="4"/>
  <c r="N25" i="3"/>
  <c r="N26" i="3"/>
  <c r="O69" i="4"/>
  <c r="O67" i="4"/>
  <c r="C58" i="4"/>
  <c r="O62" i="4" s="1"/>
  <c r="F10" i="3"/>
  <c r="F13" i="3" s="1"/>
  <c r="G20" i="4"/>
  <c r="G14" i="5"/>
  <c r="D6" i="3"/>
  <c r="C24" i="4"/>
  <c r="C23" i="4"/>
  <c r="C22" i="4"/>
  <c r="C21" i="4"/>
  <c r="C7" i="3"/>
  <c r="G7" i="3" s="1"/>
  <c r="C8" i="3"/>
  <c r="G8" i="3" s="1"/>
  <c r="C9" i="3"/>
  <c r="E9" i="3" s="1"/>
  <c r="C6" i="3"/>
  <c r="E6" i="3" s="1"/>
  <c r="B36" i="3"/>
  <c r="B37" i="3"/>
  <c r="B38" i="3"/>
  <c r="B39" i="3"/>
  <c r="B35" i="3"/>
  <c r="B21" i="3"/>
  <c r="B22" i="3"/>
  <c r="B23" i="3"/>
  <c r="B24" i="3"/>
  <c r="B20" i="3"/>
  <c r="B6" i="3"/>
  <c r="B7" i="3"/>
  <c r="B8" i="3"/>
  <c r="B9" i="3"/>
  <c r="B5" i="3"/>
  <c r="C8" i="4"/>
  <c r="D8" i="4" s="1"/>
  <c r="C9" i="4"/>
  <c r="E9" i="4" s="1"/>
  <c r="J19" i="4"/>
  <c r="C35" i="4" s="1"/>
  <c r="B36" i="4"/>
  <c r="B37" i="4"/>
  <c r="B38" i="4"/>
  <c r="B39" i="4"/>
  <c r="B21" i="4"/>
  <c r="B22" i="4"/>
  <c r="B23" i="4"/>
  <c r="B24" i="4"/>
  <c r="B20" i="4"/>
  <c r="B6" i="4"/>
  <c r="B7" i="4"/>
  <c r="B8" i="4"/>
  <c r="B9" i="4"/>
  <c r="B5" i="4"/>
  <c r="K28" i="4"/>
  <c r="E8" i="4" l="1"/>
  <c r="D9" i="4"/>
  <c r="G8" i="4"/>
  <c r="G41" i="4"/>
  <c r="O66" i="4"/>
  <c r="O68" i="4"/>
  <c r="C38" i="4"/>
  <c r="G38" i="4" s="1"/>
  <c r="G35" i="4"/>
  <c r="F35" i="4"/>
  <c r="D23" i="4"/>
  <c r="G23" i="4"/>
  <c r="E23" i="4"/>
  <c r="C41" i="4"/>
  <c r="C40" i="4"/>
  <c r="E21" i="4"/>
  <c r="D21" i="4"/>
  <c r="C39" i="4"/>
  <c r="G22" i="4"/>
  <c r="F22" i="4"/>
  <c r="E24" i="4"/>
  <c r="D24" i="4"/>
  <c r="C36" i="4"/>
  <c r="E8" i="3"/>
  <c r="D8" i="3"/>
  <c r="D9" i="3"/>
  <c r="F7" i="3"/>
  <c r="F18" i="5"/>
  <c r="F19" i="5"/>
  <c r="F20" i="5"/>
  <c r="F22" i="5"/>
  <c r="D29" i="5"/>
  <c r="D28" i="5"/>
  <c r="E28" i="5" s="1"/>
  <c r="E18" i="5" s="1"/>
  <c r="G11" i="5"/>
  <c r="G12" i="5"/>
  <c r="G13" i="5"/>
  <c r="C5" i="3"/>
  <c r="F37" i="4" l="1"/>
  <c r="G37" i="4"/>
  <c r="D38" i="4"/>
  <c r="E38" i="4"/>
  <c r="E39" i="4"/>
  <c r="D39" i="4"/>
  <c r="E36" i="4"/>
  <c r="D36" i="4"/>
  <c r="G5" i="3"/>
  <c r="F5" i="3"/>
  <c r="G18" i="5"/>
  <c r="G10" i="5"/>
  <c r="E22" i="5"/>
  <c r="G22" i="5" s="1"/>
  <c r="E20" i="5"/>
  <c r="G20" i="5" s="1"/>
  <c r="E19" i="5"/>
  <c r="G19" i="5" s="1"/>
  <c r="C6" i="4" l="1"/>
  <c r="C5" i="4"/>
  <c r="C7" i="4"/>
  <c r="E43" i="4" l="1"/>
  <c r="G7" i="4"/>
  <c r="F7" i="4"/>
  <c r="G5" i="4"/>
  <c r="G13" i="4" s="1"/>
  <c r="N39" i="4" s="1"/>
  <c r="F5" i="4"/>
  <c r="F13" i="4" s="1"/>
  <c r="N38" i="4" s="1"/>
  <c r="D6" i="4"/>
  <c r="D13" i="4" s="1"/>
  <c r="N36" i="4" s="1"/>
  <c r="E6" i="4"/>
  <c r="E13" i="4" s="1"/>
  <c r="N37" i="4" s="1"/>
  <c r="E43" i="3"/>
  <c r="O22" i="3" s="1"/>
  <c r="N20" i="3"/>
  <c r="K35" i="4" s="1"/>
  <c r="F28" i="3"/>
  <c r="E28" i="3"/>
  <c r="G28" i="3"/>
  <c r="D43" i="3"/>
  <c r="O21" i="3" s="1"/>
  <c r="F43" i="3"/>
  <c r="O23" i="3" s="1"/>
  <c r="M38" i="4" s="1"/>
  <c r="D28" i="3"/>
  <c r="G28" i="4"/>
  <c r="D43" i="4"/>
  <c r="F43" i="4"/>
  <c r="G43" i="4"/>
  <c r="C13" i="4"/>
  <c r="N35" i="4" s="1"/>
  <c r="O26" i="3" l="1"/>
  <c r="M42" i="4" s="1"/>
  <c r="O28" i="3"/>
  <c r="M44" i="4" s="1"/>
  <c r="M37" i="4"/>
  <c r="O25" i="3"/>
  <c r="M41" i="4" s="1"/>
  <c r="O27" i="3"/>
  <c r="M43" i="4" s="1"/>
  <c r="M36" i="4"/>
  <c r="E28" i="4"/>
  <c r="K64" i="4"/>
  <c r="K63" i="4"/>
  <c r="K65" i="4"/>
  <c r="K62" i="4"/>
  <c r="K44" i="4"/>
  <c r="N21" i="3"/>
  <c r="K36" i="4" s="1"/>
  <c r="K43" i="4"/>
  <c r="K42" i="4"/>
  <c r="K41" i="4"/>
  <c r="D28" i="4"/>
  <c r="C28" i="4"/>
  <c r="O35" i="4" s="1"/>
  <c r="C43" i="3"/>
  <c r="C28" i="3"/>
  <c r="F28" i="4"/>
  <c r="K68" i="4" l="1"/>
  <c r="K66" i="4"/>
  <c r="K67" i="4"/>
  <c r="K69" i="4"/>
  <c r="N23" i="3"/>
  <c r="K38" i="4" s="1"/>
  <c r="N24" i="3"/>
  <c r="K39" i="4" s="1"/>
  <c r="N22" i="3"/>
  <c r="K37" i="4" s="1"/>
  <c r="P35" i="4"/>
  <c r="P42" i="4" l="1"/>
  <c r="K56" i="4" s="1"/>
  <c r="P39" i="4"/>
  <c r="K54" i="4" s="1"/>
  <c r="P38" i="4"/>
  <c r="K53" i="4" s="1"/>
  <c r="P37" i="4"/>
  <c r="K52" i="4" s="1"/>
  <c r="P44" i="4" l="1"/>
  <c r="K58" i="4" s="1"/>
  <c r="P43" i="4"/>
  <c r="K57" i="4" s="1"/>
</calcChain>
</file>

<file path=xl/sharedStrings.xml><?xml version="1.0" encoding="utf-8"?>
<sst xmlns="http://schemas.openxmlformats.org/spreadsheetml/2006/main" count="268" uniqueCount="93">
  <si>
    <t>Barnehage</t>
  </si>
  <si>
    <t>Ant heltids-ekvivalenter pr. 01.08.24</t>
  </si>
  <si>
    <t>Kapasitet heltids-ekvivalenter</t>
  </si>
  <si>
    <t>Oppfyllingsgrad</t>
  </si>
  <si>
    <t>Alternativ 0</t>
  </si>
  <si>
    <t>Alternativ A1</t>
  </si>
  <si>
    <t>Alternativ A2</t>
  </si>
  <si>
    <t>Alternativ B</t>
  </si>
  <si>
    <t>Alternativ C</t>
  </si>
  <si>
    <t>Espa barnehage</t>
  </si>
  <si>
    <t>Romedal barnehage</t>
  </si>
  <si>
    <t>Til Tangen</t>
  </si>
  <si>
    <t>Tangen barnehage</t>
  </si>
  <si>
    <t>Til Solvin</t>
  </si>
  <si>
    <t>Til solvin</t>
  </si>
  <si>
    <t>Vallset barnehage</t>
  </si>
  <si>
    <t>Til Espa</t>
  </si>
  <si>
    <t>Åsbygda barnehage</t>
  </si>
  <si>
    <t>Solvin 8-9 avd</t>
  </si>
  <si>
    <t>Solvin 4-5 avd</t>
  </si>
  <si>
    <t>Totalt</t>
  </si>
  <si>
    <t>Bemanningsnorm</t>
  </si>
  <si>
    <t>Gj.snitt lederårsverk</t>
  </si>
  <si>
    <t>Oppsummering alternativer</t>
  </si>
  <si>
    <t>Reduksjon årsverk</t>
  </si>
  <si>
    <t>Gj.snitt ass leder bhg</t>
  </si>
  <si>
    <t>Drift Barnehage</t>
  </si>
  <si>
    <t>Gj.snitt årsverk</t>
  </si>
  <si>
    <t>Inkl. sos.utg 2024</t>
  </si>
  <si>
    <t>Alternativ A1+B</t>
  </si>
  <si>
    <t>Alternativ A2+B</t>
  </si>
  <si>
    <t>Alternativ A1+C</t>
  </si>
  <si>
    <t>Sum</t>
  </si>
  <si>
    <t>Alternativ A2+C</t>
  </si>
  <si>
    <t>Styrer-ressurs</t>
  </si>
  <si>
    <t>Endring ledelse</t>
  </si>
  <si>
    <t xml:space="preserve">Espa og Tangen barnehage slås sammen lokalisert på Espa </t>
  </si>
  <si>
    <t xml:space="preserve">Espa og Tangen barnehage slås sammen lokalisert på Tangen </t>
  </si>
  <si>
    <t>Romedal, Vallset og Åsbygda barnehage slås sammen lokalisert til Solvin</t>
  </si>
  <si>
    <t>Romedal og Åsbygda barnehage slås sammen lokalisert til Solvin</t>
  </si>
  <si>
    <t>Areal bhg.bygg (BTA) kvm</t>
  </si>
  <si>
    <t>Areal ute disp. til bhg kvm</t>
  </si>
  <si>
    <t>Bygningsareal kvm</t>
  </si>
  <si>
    <t xml:space="preserve"> </t>
  </si>
  <si>
    <t>Vallset har totalt uteareal til lek på 4379 min BYA bygg (785+54)</t>
  </si>
  <si>
    <t>Totalt kvm</t>
  </si>
  <si>
    <t>FDV - kost inneareal BTA / m2</t>
  </si>
  <si>
    <t>Hentet fra Holte prisbok 26.08.2024 Barneskole FDV</t>
  </si>
  <si>
    <t>FDV-kostnader</t>
  </si>
  <si>
    <t>Rehab/oppgrad kostn inne / kvm</t>
  </si>
  <si>
    <t>Bygg og uteareal</t>
  </si>
  <si>
    <t>Jmf Holte Kr 355/kvm*20 år</t>
  </si>
  <si>
    <t>FDV - kost uteareal / kvm</t>
  </si>
  <si>
    <t>Stange kommunes erfaringspriser basert på 4 skoler og 2 barnehager. Gjennomsnitt beregnet til 29,-/kvm i 2019</t>
  </si>
  <si>
    <t>Opparbeide nytt uteområde = 2000/kvm</t>
  </si>
  <si>
    <t>Jmf Mulighetsstudie Romedal</t>
  </si>
  <si>
    <t>Verdibevaring nybygg /kvm</t>
  </si>
  <si>
    <t>Jmf Mulighetsstudiet Romedal</t>
  </si>
  <si>
    <t>Over 20 år</t>
  </si>
  <si>
    <t>Nybygg barnehage = 35 807/kvm inkl.mva</t>
  </si>
  <si>
    <t xml:space="preserve">Jmf. Holte </t>
  </si>
  <si>
    <t>Satsen halveres</t>
  </si>
  <si>
    <t>Eiekostnad over tid</t>
  </si>
  <si>
    <t>Oppsummering alternativer - barnehagedrift og barnehagebygg</t>
  </si>
  <si>
    <t>Beman.norm</t>
  </si>
  <si>
    <t>Styrer-ressurs endring</t>
  </si>
  <si>
    <t>BTA bhg kvm</t>
  </si>
  <si>
    <t>Drift bygg</t>
  </si>
  <si>
    <t>Tot årlig drift</t>
  </si>
  <si>
    <t>Investeringsbehov</t>
  </si>
  <si>
    <t>Potensiell endring årlig drift</t>
  </si>
  <si>
    <t>Potensiell endring tilskudd private barnehager 2 år etter</t>
  </si>
  <si>
    <t>Potensiell innsparing eiekostnad mot 0-alternativet</t>
  </si>
  <si>
    <t>Potensiell endring behov for investering mot 0-alternativet</t>
  </si>
  <si>
    <t>Espa og Tangen barnehage slås sammen lokalisert på Tangen</t>
  </si>
  <si>
    <r>
      <rPr>
        <b/>
        <sz val="12"/>
        <color rgb="FF006100"/>
        <rFont val="Calibri"/>
        <family val="2"/>
        <scheme val="minor"/>
      </rPr>
      <t xml:space="preserve">Scenario 1: </t>
    </r>
    <r>
      <rPr>
        <sz val="12"/>
        <color rgb="FF006100"/>
        <rFont val="Calibri"/>
        <family val="2"/>
        <scheme val="minor"/>
      </rPr>
      <t xml:space="preserve">Etterbruk av de aktuelle barnehagebyggene kan ha ulike driftsformer, og dette vil i stor grad påvirke kostnader knyttet til forvaltning, drift og vedlikehold (FDV). Det kan forutsettes at en andel av dagens FDV-kostnader på byggene vil fortsette. I dette scenarioet er det lagt til grunn at kommunalt eierskap videreføres, men den daglige bruken overtas av feks. lokale lag og foreninger. Kommunens FDV-kostnader reduseres gjennom at bl.a. renhold og drift av utearealene forestås av brukerne. Erfaringsmessig utgjør renhold av barnehagebygg et betydelig andel av byggets totale FDV-kostnader. Som et anslag er det derfor valgt å legge til grunn en halvering av Holtes FDV-sats. FDV kostnader for uteareal er satt til 0,- under forutsetning at dette ivaretas av ny bruker. </t>
    </r>
  </si>
  <si>
    <r>
      <rPr>
        <b/>
        <sz val="12"/>
        <color rgb="FF006100"/>
        <rFont val="Calibri"/>
        <family val="2"/>
        <scheme val="minor"/>
      </rPr>
      <t xml:space="preserve">Scenario 2: </t>
    </r>
    <r>
      <rPr>
        <sz val="12"/>
        <color rgb="FF006100"/>
        <rFont val="Calibri"/>
        <family val="2"/>
        <scheme val="minor"/>
      </rPr>
      <t xml:space="preserve">Eiendommen er ikke solgt, men eiendommen står ubrukt. Forvaltning, drift og vedlikehold er redusert til en minimum, men nok til å sikre nødvendig oppvarming, tilsyn og kritisk vedlikehold. Utearealer klippes 3-4 ganger i året. FDV kostnad for uteareal er derfor redusert til ansalgsvis 25% av kvm-prisen som legges til grunn for generell FDV av uteareal på skoler og barnehager. Kun  hovedatkomstvegen brøytes på vinterstid. For å finne en egnet kvm-pris er det gjort utdrag fra regnskapet for Nordstad barnehage i Sandvika. Her ble barnehagedriften flyttet til Nedre Tømte barnehage i 2021, og bygningen har stått tom og ubrukt siden. </t>
    </r>
  </si>
  <si>
    <r>
      <rPr>
        <b/>
        <sz val="12"/>
        <color rgb="FF006100"/>
        <rFont val="Calibri"/>
        <family val="2"/>
        <scheme val="minor"/>
      </rPr>
      <t xml:space="preserve">Scenario 3: </t>
    </r>
    <r>
      <rPr>
        <sz val="12"/>
        <color rgb="FF006100"/>
        <rFont val="Calibri"/>
        <family val="2"/>
        <scheme val="minor"/>
      </rPr>
      <t>Eiendommen avhendes. Avhending er ikke nødvendigvis kostnadsfritt, og det kan heller ikke legges til grunn en forventning om salgsinntekt fra et slikt salg.</t>
    </r>
  </si>
  <si>
    <t>Bruttoareal bygg kvm</t>
  </si>
  <si>
    <t>Uteareal kvm</t>
  </si>
  <si>
    <t>Scenario 1</t>
  </si>
  <si>
    <t>FDV kostnad bygg kr/kvm per år</t>
  </si>
  <si>
    <t>FDV kostnad uteareal kr/kvm per år</t>
  </si>
  <si>
    <t>Samlet årlig FDV kostnad</t>
  </si>
  <si>
    <t>Scenario 2</t>
  </si>
  <si>
    <t>Erfaringspriser fra Nordstad barnehage i Sandvika er benyttet som grunnlag for beregning av årlig FDV kostnad per kvm. i Scenario 2.</t>
  </si>
  <si>
    <t xml:space="preserve">Nordstad barnehage har et bruttoareal bygg på 570 kvm. Kommunens regnskapstall på Nordstad barnehage for 2022 og 2023 er hentet ut. </t>
  </si>
  <si>
    <t>År</t>
  </si>
  <si>
    <t>Årlig FDV</t>
  </si>
  <si>
    <t>Omregnet til kr/kvm</t>
  </si>
  <si>
    <t>Gjennomsnitt for 22/23</t>
  </si>
  <si>
    <t>skoledelen = 1678 inne og 5060 ute, kommer i tillegg alt. A1</t>
  </si>
  <si>
    <t>Anslag Inkl skoledel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</si>
</sst>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_ &quot;kr&quot;\ * #,##0_ ;_ &quot;kr&quot;\ * \-#,##0_ ;_ &quot;kr&quot;\ * &quot;-&quot;??_ ;_ @_ "/>
    <numFmt numFmtId="165" formatCode="_-* #,##0_-;\-* #,##0_-;_-* &quot;-&quot;??_-;_-@_-"/>
    <numFmt numFmtId="166" formatCode="_-&quot;kr&quot;\ * #,##0_-;\-&quot;kr&quot;\ * #,##0_-;_-&quot;kr&quot;\ * &quot;-&quot;??_-;_-@_-"/>
    <numFmt numFmtId="167" formatCode="&quot;kr&quot;\ #,##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rgb="FF0061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8" borderId="0" applyNumberFormat="0" applyBorder="0" applyAlignment="0" applyProtection="0"/>
    <xf numFmtId="0" fontId="10" fillId="9" borderId="5" applyNumberFormat="0" applyAlignment="0" applyProtection="0"/>
  </cellStyleXfs>
  <cellXfs count="150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0" fillId="0" borderId="1" xfId="0" applyBorder="1"/>
    <xf numFmtId="164" fontId="0" fillId="0" borderId="1" xfId="0" applyNumberFormat="1" applyBorder="1"/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/>
    <xf numFmtId="0" fontId="0" fillId="4" borderId="1" xfId="0" applyFill="1" applyBorder="1"/>
    <xf numFmtId="9" fontId="0" fillId="5" borderId="1" xfId="0" applyNumberFormat="1" applyFill="1" applyBorder="1"/>
    <xf numFmtId="0" fontId="0" fillId="5" borderId="1" xfId="0" applyFill="1" applyBorder="1"/>
    <xf numFmtId="164" fontId="0" fillId="5" borderId="1" xfId="0" applyNumberFormat="1" applyFill="1" applyBorder="1"/>
    <xf numFmtId="164" fontId="0" fillId="3" borderId="1" xfId="0" applyNumberFormat="1" applyFill="1" applyBorder="1"/>
    <xf numFmtId="0" fontId="4" fillId="6" borderId="1" xfId="0" applyFont="1" applyFill="1" applyBorder="1" applyAlignment="1">
      <alignment vertical="top" wrapText="1"/>
    </xf>
    <xf numFmtId="0" fontId="0" fillId="7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9" fontId="0" fillId="5" borderId="1" xfId="0" applyNumberFormat="1" applyFill="1" applyBorder="1" applyAlignment="1">
      <alignment horizontal="right"/>
    </xf>
    <xf numFmtId="0" fontId="6" fillId="0" borderId="0" xfId="0" applyFont="1"/>
    <xf numFmtId="164" fontId="6" fillId="5" borderId="1" xfId="0" applyNumberFormat="1" applyFont="1" applyFill="1" applyBorder="1"/>
    <xf numFmtId="44" fontId="6" fillId="5" borderId="2" xfId="0" applyNumberFormat="1" applyFont="1" applyFill="1" applyBorder="1" applyAlignment="1">
      <alignment horizontal="center"/>
    </xf>
    <xf numFmtId="9" fontId="8" fillId="5" borderId="1" xfId="0" applyNumberFormat="1" applyFont="1" applyFill="1" applyBorder="1"/>
    <xf numFmtId="164" fontId="8" fillId="5" borderId="1" xfId="0" applyNumberFormat="1" applyFont="1" applyFill="1" applyBorder="1"/>
    <xf numFmtId="0" fontId="1" fillId="0" borderId="0" xfId="0" applyFont="1"/>
    <xf numFmtId="166" fontId="0" fillId="4" borderId="1" xfId="3" applyNumberFormat="1" applyFont="1" applyFill="1" applyBorder="1"/>
    <xf numFmtId="0" fontId="4" fillId="6" borderId="6" xfId="0" applyFont="1" applyFill="1" applyBorder="1" applyAlignment="1">
      <alignment vertical="top" wrapText="1"/>
    </xf>
    <xf numFmtId="0" fontId="1" fillId="4" borderId="7" xfId="0" applyFont="1" applyFill="1" applyBorder="1"/>
    <xf numFmtId="166" fontId="0" fillId="4" borderId="8" xfId="3" applyNumberFormat="1" applyFont="1" applyFill="1" applyBorder="1"/>
    <xf numFmtId="0" fontId="1" fillId="4" borderId="10" xfId="0" applyFont="1" applyFill="1" applyBorder="1"/>
    <xf numFmtId="0" fontId="1" fillId="4" borderId="12" xfId="0" applyFont="1" applyFill="1" applyBorder="1"/>
    <xf numFmtId="166" fontId="0" fillId="4" borderId="13" xfId="3" applyNumberFormat="1" applyFont="1" applyFill="1" applyBorder="1"/>
    <xf numFmtId="0" fontId="4" fillId="6" borderId="18" xfId="0" applyFont="1" applyFill="1" applyBorder="1" applyAlignment="1">
      <alignment vertical="top" wrapText="1"/>
    </xf>
    <xf numFmtId="0" fontId="13" fillId="0" borderId="0" xfId="0" applyFont="1"/>
    <xf numFmtId="0" fontId="10" fillId="9" borderId="5" xfId="5"/>
    <xf numFmtId="166" fontId="10" fillId="9" borderId="5" xfId="5" applyNumberFormat="1"/>
    <xf numFmtId="0" fontId="14" fillId="9" borderId="5" xfId="5" applyFont="1" applyAlignment="1">
      <alignment horizontal="right" vertical="center"/>
    </xf>
    <xf numFmtId="0" fontId="14" fillId="9" borderId="5" xfId="5" applyFont="1" applyAlignment="1">
      <alignment vertical="center"/>
    </xf>
    <xf numFmtId="0" fontId="14" fillId="9" borderId="5" xfId="5" applyFont="1" applyAlignment="1">
      <alignment vertical="center" wrapText="1"/>
    </xf>
    <xf numFmtId="0" fontId="14" fillId="9" borderId="5" xfId="5" applyFont="1" applyAlignment="1">
      <alignment wrapText="1"/>
    </xf>
    <xf numFmtId="166" fontId="0" fillId="4" borderId="7" xfId="3" applyNumberFormat="1" applyFont="1" applyFill="1" applyBorder="1"/>
    <xf numFmtId="166" fontId="0" fillId="4" borderId="10" xfId="3" applyNumberFormat="1" applyFont="1" applyFill="1" applyBorder="1"/>
    <xf numFmtId="166" fontId="0" fillId="4" borderId="12" xfId="3" applyNumberFormat="1" applyFont="1" applyFill="1" applyBorder="1"/>
    <xf numFmtId="166" fontId="5" fillId="4" borderId="9" xfId="3" applyNumberFormat="1" applyFont="1" applyFill="1" applyBorder="1" applyAlignment="1">
      <alignment horizontal="left" indent="2"/>
    </xf>
    <xf numFmtId="166" fontId="5" fillId="4" borderId="11" xfId="3" applyNumberFormat="1" applyFont="1" applyFill="1" applyBorder="1" applyAlignment="1">
      <alignment horizontal="left" indent="2"/>
    </xf>
    <xf numFmtId="166" fontId="5" fillId="4" borderId="14" xfId="3" applyNumberFormat="1" applyFont="1" applyFill="1" applyBorder="1" applyAlignment="1">
      <alignment horizontal="left" indent="2"/>
    </xf>
    <xf numFmtId="0" fontId="4" fillId="6" borderId="17" xfId="0" applyFont="1" applyFill="1" applyBorder="1" applyAlignment="1">
      <alignment vertical="top" wrapText="1"/>
    </xf>
    <xf numFmtId="165" fontId="0" fillId="4" borderId="1" xfId="2" applyNumberFormat="1" applyFont="1" applyFill="1" applyBorder="1"/>
    <xf numFmtId="165" fontId="8" fillId="4" borderId="1" xfId="2" applyNumberFormat="1" applyFont="1" applyFill="1" applyBorder="1"/>
    <xf numFmtId="1" fontId="0" fillId="0" borderId="0" xfId="0" applyNumberFormat="1"/>
    <xf numFmtId="0" fontId="0" fillId="4" borderId="2" xfId="0" applyFill="1" applyBorder="1"/>
    <xf numFmtId="167" fontId="0" fillId="4" borderId="3" xfId="0" applyNumberFormat="1" applyFill="1" applyBorder="1"/>
    <xf numFmtId="164" fontId="8" fillId="3" borderId="1" xfId="0" applyNumberFormat="1" applyFont="1" applyFill="1" applyBorder="1"/>
    <xf numFmtId="17" fontId="0" fillId="0" borderId="0" xfId="0" applyNumberFormat="1"/>
    <xf numFmtId="164" fontId="8" fillId="5" borderId="1" xfId="0" applyNumberFormat="1" applyFont="1" applyFill="1" applyBorder="1" applyAlignment="1">
      <alignment horizontal="center"/>
    </xf>
    <xf numFmtId="0" fontId="8" fillId="5" borderId="1" xfId="0" applyFont="1" applyFill="1" applyBorder="1"/>
    <xf numFmtId="0" fontId="0" fillId="5" borderId="1" xfId="0" applyFill="1" applyBorder="1" applyAlignment="1">
      <alignment horizontal="center"/>
    </xf>
    <xf numFmtId="0" fontId="0" fillId="0" borderId="0" xfId="0" applyAlignment="1">
      <alignment wrapText="1"/>
    </xf>
    <xf numFmtId="9" fontId="0" fillId="5" borderId="1" xfId="0" applyNumberFormat="1" applyFill="1" applyBorder="1" applyAlignment="1">
      <alignment horizontal="center"/>
    </xf>
    <xf numFmtId="9" fontId="8" fillId="0" borderId="0" xfId="0" applyNumberFormat="1" applyFont="1"/>
    <xf numFmtId="164" fontId="8" fillId="0" borderId="0" xfId="0" applyNumberFormat="1" applyFont="1"/>
    <xf numFmtId="9" fontId="8" fillId="0" borderId="0" xfId="1" applyFont="1" applyFill="1" applyBorder="1"/>
    <xf numFmtId="44" fontId="6" fillId="0" borderId="0" xfId="0" applyNumberFormat="1" applyFont="1" applyAlignment="1">
      <alignment horizontal="center"/>
    </xf>
    <xf numFmtId="0" fontId="1" fillId="4" borderId="17" xfId="0" applyFont="1" applyFill="1" applyBorder="1"/>
    <xf numFmtId="166" fontId="0" fillId="4" borderId="17" xfId="3" applyNumberFormat="1" applyFont="1" applyFill="1" applyBorder="1"/>
    <xf numFmtId="166" fontId="0" fillId="4" borderId="6" xfId="3" applyNumberFormat="1" applyFont="1" applyFill="1" applyBorder="1"/>
    <xf numFmtId="166" fontId="5" fillId="4" borderId="18" xfId="3" applyNumberFormat="1" applyFont="1" applyFill="1" applyBorder="1" applyAlignment="1">
      <alignment horizontal="left" indent="2"/>
    </xf>
    <xf numFmtId="9" fontId="8" fillId="5" borderId="1" xfId="0" applyNumberFormat="1" applyFont="1" applyFill="1" applyBorder="1" applyAlignment="1">
      <alignment horizontal="right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15" fillId="2" borderId="1" xfId="0" applyFont="1" applyFill="1" applyBorder="1"/>
    <xf numFmtId="164" fontId="8" fillId="0" borderId="1" xfId="0" applyNumberFormat="1" applyFont="1" applyBorder="1"/>
    <xf numFmtId="9" fontId="0" fillId="3" borderId="1" xfId="0" applyNumberFormat="1" applyFill="1" applyBorder="1"/>
    <xf numFmtId="9" fontId="8" fillId="3" borderId="1" xfId="0" applyNumberFormat="1" applyFont="1" applyFill="1" applyBorder="1"/>
    <xf numFmtId="9" fontId="0" fillId="3" borderId="1" xfId="0" applyNumberForma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9" fontId="8" fillId="3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7" fontId="0" fillId="0" borderId="0" xfId="0" applyNumberFormat="1"/>
    <xf numFmtId="167" fontId="5" fillId="0" borderId="0" xfId="0" applyNumberFormat="1" applyFont="1"/>
    <xf numFmtId="165" fontId="8" fillId="4" borderId="16" xfId="2" applyNumberFormat="1" applyFont="1" applyFill="1" applyBorder="1" applyAlignment="1">
      <alignment horizontal="left" indent="2"/>
    </xf>
    <xf numFmtId="165" fontId="8" fillId="4" borderId="3" xfId="2" applyNumberFormat="1" applyFont="1" applyFill="1" applyBorder="1" applyAlignment="1">
      <alignment horizontal="left" indent="2"/>
    </xf>
    <xf numFmtId="165" fontId="8" fillId="4" borderId="15" xfId="2" applyNumberFormat="1" applyFont="1" applyFill="1" applyBorder="1" applyAlignment="1">
      <alignment horizontal="left" indent="2"/>
    </xf>
    <xf numFmtId="165" fontId="8" fillId="4" borderId="13" xfId="2" applyNumberFormat="1" applyFont="1" applyFill="1" applyBorder="1" applyAlignment="1">
      <alignment horizontal="left" indent="2"/>
    </xf>
    <xf numFmtId="165" fontId="8" fillId="4" borderId="19" xfId="2" applyNumberFormat="1" applyFont="1" applyFill="1" applyBorder="1" applyAlignment="1">
      <alignment horizontal="left" indent="2"/>
    </xf>
    <xf numFmtId="165" fontId="8" fillId="4" borderId="21" xfId="2" applyNumberFormat="1" applyFont="1" applyFill="1" applyBorder="1" applyAlignment="1">
      <alignment horizontal="left" indent="2"/>
    </xf>
    <xf numFmtId="165" fontId="8" fillId="4" borderId="20" xfId="2" applyNumberFormat="1" applyFont="1" applyFill="1" applyBorder="1" applyAlignment="1">
      <alignment horizontal="left" indent="2"/>
    </xf>
    <xf numFmtId="165" fontId="8" fillId="4" borderId="22" xfId="2" applyNumberFormat="1" applyFont="1" applyFill="1" applyBorder="1" applyAlignment="1">
      <alignment horizontal="left" indent="2"/>
    </xf>
    <xf numFmtId="165" fontId="8" fillId="4" borderId="19" xfId="2" applyNumberFormat="1" applyFont="1" applyFill="1" applyBorder="1"/>
    <xf numFmtId="165" fontId="8" fillId="4" borderId="21" xfId="2" applyNumberFormat="1" applyFont="1" applyFill="1" applyBorder="1"/>
    <xf numFmtId="165" fontId="8" fillId="4" borderId="20" xfId="2" applyNumberFormat="1" applyFont="1" applyFill="1" applyBorder="1"/>
    <xf numFmtId="165" fontId="8" fillId="4" borderId="22" xfId="2" applyNumberFormat="1" applyFont="1" applyFill="1" applyBorder="1"/>
    <xf numFmtId="165" fontId="8" fillId="4" borderId="16" xfId="2" applyNumberFormat="1" applyFont="1" applyFill="1" applyBorder="1"/>
    <xf numFmtId="165" fontId="8" fillId="4" borderId="3" xfId="2" applyNumberFormat="1" applyFont="1" applyFill="1" applyBorder="1"/>
    <xf numFmtId="165" fontId="8" fillId="4" borderId="15" xfId="2" applyNumberFormat="1" applyFont="1" applyFill="1" applyBorder="1"/>
    <xf numFmtId="165" fontId="8" fillId="4" borderId="13" xfId="2" applyNumberFormat="1" applyFont="1" applyFill="1" applyBorder="1"/>
    <xf numFmtId="165" fontId="0" fillId="0" borderId="0" xfId="0" applyNumberFormat="1"/>
    <xf numFmtId="9" fontId="0" fillId="0" borderId="0" xfId="1" applyFont="1"/>
    <xf numFmtId="0" fontId="0" fillId="10" borderId="1" xfId="0" applyFill="1" applyBorder="1" applyAlignment="1">
      <alignment horizontal="center"/>
    </xf>
    <xf numFmtId="164" fontId="0" fillId="10" borderId="1" xfId="0" applyNumberFormat="1" applyFill="1" applyBorder="1"/>
    <xf numFmtId="164" fontId="8" fillId="10" borderId="1" xfId="0" applyNumberFormat="1" applyFont="1" applyFill="1" applyBorder="1"/>
    <xf numFmtId="1" fontId="8" fillId="5" borderId="1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0" fillId="0" borderId="24" xfId="0" applyBorder="1"/>
    <xf numFmtId="10" fontId="8" fillId="3" borderId="1" xfId="0" applyNumberFormat="1" applyFont="1" applyFill="1" applyBorder="1"/>
    <xf numFmtId="0" fontId="8" fillId="3" borderId="1" xfId="0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/>
    </xf>
    <xf numFmtId="167" fontId="8" fillId="3" borderId="1" xfId="0" applyNumberFormat="1" applyFont="1" applyFill="1" applyBorder="1" applyAlignment="1">
      <alignment horizontal="right"/>
    </xf>
    <xf numFmtId="165" fontId="6" fillId="4" borderId="1" xfId="2" applyNumberFormat="1" applyFont="1" applyFill="1" applyBorder="1"/>
    <xf numFmtId="44" fontId="6" fillId="5" borderId="2" xfId="0" applyNumberFormat="1" applyFont="1" applyFill="1" applyBorder="1"/>
    <xf numFmtId="44" fontId="8" fillId="5" borderId="3" xfId="0" applyNumberFormat="1" applyFont="1" applyFill="1" applyBorder="1"/>
    <xf numFmtId="0" fontId="0" fillId="7" borderId="1" xfId="0" applyFill="1" applyBorder="1" applyAlignment="1">
      <alignment horizontal="left"/>
    </xf>
    <xf numFmtId="0" fontId="0" fillId="0" borderId="0" xfId="0" applyAlignment="1">
      <alignment horizontal="left"/>
    </xf>
    <xf numFmtId="44" fontId="15" fillId="2" borderId="1" xfId="0" applyNumberFormat="1" applyFont="1" applyFill="1" applyBorder="1" applyAlignment="1">
      <alignment horizontal="center" wrapText="1"/>
    </xf>
    <xf numFmtId="44" fontId="6" fillId="0" borderId="0" xfId="0" applyNumberFormat="1" applyFont="1" applyAlignment="1">
      <alignment horizontal="center"/>
    </xf>
    <xf numFmtId="164" fontId="8" fillId="5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167" fontId="0" fillId="4" borderId="2" xfId="0" applyNumberFormat="1" applyFill="1" applyBorder="1" applyAlignment="1">
      <alignment horizontal="right"/>
    </xf>
    <xf numFmtId="167" fontId="0" fillId="4" borderId="3" xfId="0" applyNumberFormat="1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0" fillId="5" borderId="2" xfId="0" applyNumberFormat="1" applyFill="1" applyBorder="1" applyAlignment="1">
      <alignment horizontal="right"/>
    </xf>
    <xf numFmtId="164" fontId="0" fillId="5" borderId="4" xfId="0" applyNumberFormat="1" applyFill="1" applyBorder="1" applyAlignment="1">
      <alignment horizontal="right"/>
    </xf>
    <xf numFmtId="164" fontId="0" fillId="5" borderId="3" xfId="0" applyNumberFormat="1" applyFill="1" applyBorder="1" applyAlignment="1">
      <alignment horizontal="right"/>
    </xf>
    <xf numFmtId="0" fontId="0" fillId="0" borderId="23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64" fontId="0" fillId="4" borderId="1" xfId="0" applyNumberFormat="1" applyFill="1" applyBorder="1" applyAlignment="1">
      <alignment horizontal="left"/>
    </xf>
    <xf numFmtId="164" fontId="0" fillId="4" borderId="2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166" fontId="10" fillId="9" borderId="5" xfId="5" applyNumberFormat="1" applyAlignment="1">
      <alignment horizontal="center" vertical="center"/>
    </xf>
    <xf numFmtId="0" fontId="11" fillId="8" borderId="2" xfId="4" applyFont="1" applyBorder="1" applyAlignment="1">
      <alignment horizontal="left" vertical="center" wrapText="1"/>
    </xf>
    <xf numFmtId="0" fontId="11" fillId="8" borderId="4" xfId="4" applyFont="1" applyBorder="1" applyAlignment="1">
      <alignment horizontal="left" vertical="center" wrapText="1"/>
    </xf>
    <xf numFmtId="0" fontId="11" fillId="8" borderId="3" xfId="4" applyFont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0" fillId="0" borderId="0" xfId="0"/>
    <xf numFmtId="167" fontId="8" fillId="0" borderId="0" xfId="0" applyNumberFormat="1" applyFont="1"/>
  </cellXfs>
  <cellStyles count="6">
    <cellStyle name="God" xfId="4" builtinId="26"/>
    <cellStyle name="Inndata" xfId="5" builtinId="20"/>
    <cellStyle name="Komma" xfId="2" builtinId="3"/>
    <cellStyle name="Normal" xfId="0" builtinId="0"/>
    <cellStyle name="Prosent" xfId="1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114425</xdr:colOff>
      <xdr:row>1</xdr:row>
      <xdr:rowOff>355040</xdr:rowOff>
    </xdr:from>
    <xdr:to>
      <xdr:col>23</xdr:col>
      <xdr:colOff>43080</xdr:colOff>
      <xdr:row>18</xdr:row>
      <xdr:rowOff>33307</xdr:rowOff>
    </xdr:to>
    <xdr:pic>
      <xdr:nvPicPr>
        <xdr:cNvPr id="5" name="Bilde 1">
          <a:extLst>
            <a:ext uri="{FF2B5EF4-FFF2-40B4-BE49-F238E27FC236}">
              <a16:creationId xmlns:a16="http://schemas.microsoft.com/office/drawing/2014/main" id="{F181178B-347E-B0CD-850E-6A7F7EA11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11508" y="534957"/>
          <a:ext cx="4871072" cy="292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1"/>
  <sheetViews>
    <sheetView topLeftCell="A3" zoomScaleNormal="100" workbookViewId="0">
      <selection activeCell="K37" sqref="K37"/>
    </sheetView>
  </sheetViews>
  <sheetFormatPr baseColWidth="10" defaultColWidth="11.453125" defaultRowHeight="14.5" x14ac:dyDescent="0.35"/>
  <cols>
    <col min="1" max="1" width="3.7265625" customWidth="1"/>
    <col min="2" max="2" width="27.7265625" customWidth="1"/>
    <col min="3" max="4" width="15" customWidth="1"/>
    <col min="5" max="5" width="15.26953125" customWidth="1"/>
    <col min="6" max="6" width="15" customWidth="1"/>
    <col min="7" max="7" width="16.1796875" customWidth="1"/>
    <col min="8" max="8" width="5.26953125" customWidth="1"/>
    <col min="9" max="9" width="5.54296875" customWidth="1"/>
    <col min="10" max="10" width="18.7265625" customWidth="1"/>
    <col min="11" max="11" width="12.26953125" customWidth="1"/>
    <col min="12" max="12" width="14.26953125" bestFit="1" customWidth="1"/>
    <col min="13" max="13" width="15.1796875" customWidth="1"/>
    <col min="14" max="14" width="16" customWidth="1"/>
    <col min="15" max="15" width="19.453125" customWidth="1"/>
    <col min="16" max="16" width="5.453125" customWidth="1"/>
    <col min="17" max="17" width="17.1796875" customWidth="1"/>
  </cols>
  <sheetData>
    <row r="1" spans="2:14" ht="72" customHeight="1" x14ac:dyDescent="0.35"/>
    <row r="2" spans="2:14" ht="43.5" x14ac:dyDescent="0.35">
      <c r="J2" s="5" t="s">
        <v>0</v>
      </c>
      <c r="K2" s="6" t="s">
        <v>1</v>
      </c>
      <c r="L2" s="6" t="s">
        <v>2</v>
      </c>
    </row>
    <row r="3" spans="2:14" x14ac:dyDescent="0.35"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J3" s="7" t="s">
        <v>9</v>
      </c>
      <c r="K3" s="8">
        <v>27</v>
      </c>
      <c r="L3" s="8">
        <v>43</v>
      </c>
      <c r="M3">
        <v>86</v>
      </c>
      <c r="N3" t="s">
        <v>92</v>
      </c>
    </row>
    <row r="4" spans="2:14" x14ac:dyDescent="0.35">
      <c r="B4" s="3"/>
      <c r="C4" s="3"/>
      <c r="D4" s="3"/>
      <c r="E4" s="16"/>
      <c r="F4" s="16"/>
      <c r="G4" s="3"/>
      <c r="J4" s="7" t="s">
        <v>10</v>
      </c>
      <c r="K4" s="8">
        <v>60</v>
      </c>
      <c r="L4" s="8">
        <v>66</v>
      </c>
    </row>
    <row r="5" spans="2:14" x14ac:dyDescent="0.35">
      <c r="B5" s="3" t="str">
        <f>J3</f>
        <v>Espa barnehage</v>
      </c>
      <c r="C5" s="9">
        <f>K3/L3</f>
        <v>0.62790697674418605</v>
      </c>
      <c r="D5" s="106">
        <f>(K3+K5)/M3</f>
        <v>0.80232558139534882</v>
      </c>
      <c r="E5" s="15" t="s">
        <v>11</v>
      </c>
      <c r="F5" s="18">
        <f>C5</f>
        <v>0.62790697674418605</v>
      </c>
      <c r="G5" s="9">
        <f>C5</f>
        <v>0.62790697674418605</v>
      </c>
      <c r="J5" s="7" t="s">
        <v>12</v>
      </c>
      <c r="K5" s="8">
        <v>42</v>
      </c>
      <c r="L5" s="8">
        <v>66</v>
      </c>
    </row>
    <row r="6" spans="2:14" x14ac:dyDescent="0.35">
      <c r="B6" s="3" t="str">
        <f t="shared" ref="B6:B9" si="0">J4</f>
        <v>Romedal barnehage</v>
      </c>
      <c r="C6" s="9">
        <f>K4/L4</f>
        <v>0.90909090909090906</v>
      </c>
      <c r="D6" s="58">
        <f>C6</f>
        <v>0.90909090909090906</v>
      </c>
      <c r="E6" s="9">
        <f>C6</f>
        <v>0.90909090909090906</v>
      </c>
      <c r="F6" s="73" t="s">
        <v>13</v>
      </c>
      <c r="G6" s="75" t="s">
        <v>14</v>
      </c>
      <c r="J6" s="7" t="s">
        <v>15</v>
      </c>
      <c r="K6" s="8">
        <v>70</v>
      </c>
      <c r="L6" s="8">
        <v>78</v>
      </c>
    </row>
    <row r="7" spans="2:14" x14ac:dyDescent="0.35">
      <c r="B7" s="3" t="str">
        <f t="shared" si="0"/>
        <v>Tangen barnehage</v>
      </c>
      <c r="C7" s="9">
        <f t="shared" ref="C7:C9" si="1">K5/L5</f>
        <v>0.63636363636363635</v>
      </c>
      <c r="D7" s="73" t="s">
        <v>16</v>
      </c>
      <c r="E7" s="74">
        <f>(K3+K5)/L5</f>
        <v>1.0454545454545454</v>
      </c>
      <c r="F7" s="9">
        <f>C7</f>
        <v>0.63636363636363635</v>
      </c>
      <c r="G7" s="9">
        <f>C7</f>
        <v>0.63636363636363635</v>
      </c>
      <c r="J7" s="7" t="s">
        <v>17</v>
      </c>
      <c r="K7" s="8">
        <v>37.200000000000003</v>
      </c>
      <c r="L7" s="8">
        <v>49</v>
      </c>
    </row>
    <row r="8" spans="2:14" x14ac:dyDescent="0.35">
      <c r="B8" s="3" t="str">
        <f t="shared" si="0"/>
        <v>Vallset barnehage</v>
      </c>
      <c r="C8" s="9">
        <f t="shared" si="1"/>
        <v>0.89743589743589747</v>
      </c>
      <c r="D8" s="9">
        <f>C8</f>
        <v>0.89743589743589747</v>
      </c>
      <c r="E8" s="9">
        <f>C8</f>
        <v>0.89743589743589747</v>
      </c>
      <c r="F8" s="73" t="s">
        <v>13</v>
      </c>
      <c r="G8" s="22">
        <f>C8</f>
        <v>0.89743589743589747</v>
      </c>
      <c r="J8" s="7"/>
      <c r="K8" s="8"/>
      <c r="L8" s="8"/>
    </row>
    <row r="9" spans="2:14" x14ac:dyDescent="0.35">
      <c r="B9" s="3" t="str">
        <f t="shared" si="0"/>
        <v>Åsbygda barnehage</v>
      </c>
      <c r="C9" s="9">
        <f t="shared" si="1"/>
        <v>0.75918367346938787</v>
      </c>
      <c r="D9" s="9">
        <f>C9</f>
        <v>0.75918367346938787</v>
      </c>
      <c r="E9" s="58">
        <f>C9</f>
        <v>0.75918367346938787</v>
      </c>
      <c r="F9" s="74" t="s">
        <v>13</v>
      </c>
      <c r="G9" s="76" t="s">
        <v>13</v>
      </c>
      <c r="J9" s="7" t="s">
        <v>18</v>
      </c>
      <c r="K9" s="8">
        <f>K4+K6+K7</f>
        <v>167.2</v>
      </c>
      <c r="L9" s="8">
        <f>L4+L6+L7</f>
        <v>193</v>
      </c>
    </row>
    <row r="10" spans="2:14" x14ac:dyDescent="0.35">
      <c r="B10" s="3" t="s">
        <v>18</v>
      </c>
      <c r="C10" s="9"/>
      <c r="D10" s="9"/>
      <c r="E10" s="56"/>
      <c r="F10" s="77">
        <f>K9/L9</f>
        <v>0.86632124352331596</v>
      </c>
      <c r="G10" s="67"/>
      <c r="J10" s="7"/>
      <c r="K10" s="8"/>
      <c r="L10" s="8"/>
    </row>
    <row r="11" spans="2:14" x14ac:dyDescent="0.35">
      <c r="B11" s="3" t="s">
        <v>19</v>
      </c>
      <c r="C11" s="10"/>
      <c r="D11" s="10"/>
      <c r="E11" s="10"/>
      <c r="F11" s="55"/>
      <c r="G11" s="74">
        <f>K11/L11</f>
        <v>0.84521739130434781</v>
      </c>
      <c r="J11" s="7" t="s">
        <v>19</v>
      </c>
      <c r="K11" s="8">
        <f>K4+K7</f>
        <v>97.2</v>
      </c>
      <c r="L11" s="8">
        <f>L4+L7</f>
        <v>115</v>
      </c>
    </row>
    <row r="12" spans="2:14" x14ac:dyDescent="0.35">
      <c r="B12" s="3"/>
      <c r="C12" s="3"/>
      <c r="D12" s="3"/>
      <c r="E12" s="3"/>
      <c r="F12" s="68"/>
      <c r="G12" s="68"/>
      <c r="J12" s="7"/>
      <c r="K12" s="8"/>
      <c r="L12" s="8"/>
    </row>
    <row r="13" spans="2:14" x14ac:dyDescent="0.35">
      <c r="B13" s="3" t="s">
        <v>20</v>
      </c>
      <c r="C13" s="9">
        <f>SUM(C5:C9)/5</f>
        <v>0.76599621862080336</v>
      </c>
      <c r="D13" s="9">
        <f>SUM(D5:D9)/4</f>
        <v>0.84200901534788586</v>
      </c>
      <c r="E13" s="9">
        <f>SUM(E5:E9)/4</f>
        <v>0.90279125636268498</v>
      </c>
      <c r="F13" s="9">
        <f>SUM(F5:F10)/3</f>
        <v>0.71019728554371275</v>
      </c>
      <c r="G13" s="9">
        <f>SUM(G5:G11)/4</f>
        <v>0.75173097546201695</v>
      </c>
    </row>
    <row r="14" spans="2:14" x14ac:dyDescent="0.35">
      <c r="C14" s="16"/>
      <c r="D14" s="16"/>
      <c r="E14" s="16"/>
      <c r="F14" s="69"/>
      <c r="G14" s="69"/>
    </row>
    <row r="15" spans="2:14" x14ac:dyDescent="0.35">
      <c r="F15" s="68"/>
      <c r="G15" s="69"/>
      <c r="J15" s="114"/>
      <c r="K15" s="114"/>
      <c r="L15" s="114"/>
    </row>
    <row r="16" spans="2:14" x14ac:dyDescent="0.35">
      <c r="F16" s="70"/>
      <c r="G16" s="70"/>
    </row>
    <row r="17" spans="2:15" x14ac:dyDescent="0.35">
      <c r="F17" s="70"/>
      <c r="G17" s="70"/>
    </row>
    <row r="18" spans="2:15" x14ac:dyDescent="0.35">
      <c r="B18" s="1" t="s">
        <v>21</v>
      </c>
      <c r="C18" s="1" t="s">
        <v>4</v>
      </c>
      <c r="D18" s="1" t="s">
        <v>5</v>
      </c>
      <c r="E18" s="1" t="s">
        <v>6</v>
      </c>
      <c r="F18" s="71" t="s">
        <v>7</v>
      </c>
      <c r="G18" s="71" t="s">
        <v>8</v>
      </c>
      <c r="J18" t="s">
        <v>22</v>
      </c>
      <c r="L18" s="80">
        <v>995561</v>
      </c>
      <c r="M18" s="113" t="s">
        <v>23</v>
      </c>
      <c r="N18" s="113"/>
      <c r="O18" s="113"/>
    </row>
    <row r="19" spans="2:15" x14ac:dyDescent="0.35">
      <c r="B19" s="3" t="s">
        <v>24</v>
      </c>
      <c r="C19" s="3"/>
      <c r="D19" s="3"/>
      <c r="E19" s="3"/>
      <c r="F19" s="68"/>
      <c r="G19" s="68"/>
      <c r="J19" t="s">
        <v>25</v>
      </c>
      <c r="L19" s="79">
        <v>929934</v>
      </c>
      <c r="M19" s="14"/>
      <c r="N19" s="14" t="s">
        <v>3</v>
      </c>
      <c r="O19" s="14" t="s">
        <v>26</v>
      </c>
    </row>
    <row r="20" spans="2:15" x14ac:dyDescent="0.35">
      <c r="B20" s="3" t="str">
        <f>J3</f>
        <v>Espa barnehage</v>
      </c>
      <c r="C20" s="23"/>
      <c r="D20" s="73"/>
      <c r="E20" s="15" t="s">
        <v>11</v>
      </c>
      <c r="F20" s="67"/>
      <c r="G20" s="22"/>
      <c r="J20" t="s">
        <v>27</v>
      </c>
      <c r="L20" s="149">
        <v>845000</v>
      </c>
      <c r="M20" s="3" t="s">
        <v>4</v>
      </c>
      <c r="N20" s="22">
        <f>C13</f>
        <v>0.76599621862080336</v>
      </c>
      <c r="O20" s="23">
        <f>C43</f>
        <v>0</v>
      </c>
    </row>
    <row r="21" spans="2:15" x14ac:dyDescent="0.35">
      <c r="B21" s="3" t="str">
        <f t="shared" ref="B21:B24" si="2">J4</f>
        <v>Romedal barnehage</v>
      </c>
      <c r="C21" s="23"/>
      <c r="D21" s="56"/>
      <c r="E21" s="9"/>
      <c r="F21" s="74" t="s">
        <v>13</v>
      </c>
      <c r="G21" s="77" t="s">
        <v>14</v>
      </c>
      <c r="M21" s="3" t="s">
        <v>5</v>
      </c>
      <c r="N21" s="22">
        <f>D13</f>
        <v>0.84200901534788586</v>
      </c>
      <c r="O21" s="23">
        <f>D43</f>
        <v>-497780.5</v>
      </c>
    </row>
    <row r="22" spans="2:15" x14ac:dyDescent="0.35">
      <c r="B22" s="3" t="str">
        <f t="shared" si="2"/>
        <v>Tangen barnehage</v>
      </c>
      <c r="C22" s="23"/>
      <c r="D22" s="73" t="s">
        <v>16</v>
      </c>
      <c r="E22" s="73"/>
      <c r="F22" s="22"/>
      <c r="G22" s="22"/>
      <c r="M22" s="3" t="s">
        <v>6</v>
      </c>
      <c r="N22" s="22">
        <f>E13</f>
        <v>0.90279125636268498</v>
      </c>
      <c r="O22" s="23">
        <f>E43</f>
        <v>-497780.5</v>
      </c>
    </row>
    <row r="23" spans="2:15" x14ac:dyDescent="0.35">
      <c r="B23" s="3" t="str">
        <f t="shared" si="2"/>
        <v>Vallset barnehage</v>
      </c>
      <c r="C23" s="23"/>
      <c r="D23" s="9"/>
      <c r="E23" s="9"/>
      <c r="F23" s="74" t="s">
        <v>13</v>
      </c>
      <c r="G23" s="22"/>
      <c r="J23" s="53" t="s">
        <v>28</v>
      </c>
      <c r="M23" s="3" t="s">
        <v>7</v>
      </c>
      <c r="N23" s="22">
        <f>F13</f>
        <v>0.71019728554371275</v>
      </c>
      <c r="O23" s="23">
        <f>F43</f>
        <v>-796448.8</v>
      </c>
    </row>
    <row r="24" spans="2:15" x14ac:dyDescent="0.35">
      <c r="B24" s="3" t="str">
        <f t="shared" si="2"/>
        <v>Åsbygda barnehage</v>
      </c>
      <c r="C24" s="23"/>
      <c r="D24" s="9"/>
      <c r="E24" s="56"/>
      <c r="F24" s="74" t="s">
        <v>13</v>
      </c>
      <c r="G24" s="76" t="s">
        <v>13</v>
      </c>
      <c r="M24" s="3" t="s">
        <v>8</v>
      </c>
      <c r="N24" s="22">
        <f>G13</f>
        <v>0.75173097546201695</v>
      </c>
      <c r="O24" s="23">
        <f>G43</f>
        <v>-796448.8</v>
      </c>
    </row>
    <row r="25" spans="2:15" x14ac:dyDescent="0.35">
      <c r="B25" s="3" t="s">
        <v>18</v>
      </c>
      <c r="C25" s="23"/>
      <c r="D25" s="23"/>
      <c r="E25" s="54"/>
      <c r="F25" s="78"/>
      <c r="G25" s="54"/>
      <c r="M25" s="3" t="s">
        <v>29</v>
      </c>
      <c r="N25" s="22">
        <f>(D13+F13)/2</f>
        <v>0.77610315044579936</v>
      </c>
      <c r="O25" s="23">
        <f>O21+O23</f>
        <v>-1294229.3</v>
      </c>
    </row>
    <row r="26" spans="2:15" x14ac:dyDescent="0.35">
      <c r="B26" s="3" t="s">
        <v>19</v>
      </c>
      <c r="C26" s="11"/>
      <c r="D26" s="11"/>
      <c r="E26" s="11"/>
      <c r="F26" s="23"/>
      <c r="G26" s="52"/>
      <c r="M26" s="3" t="s">
        <v>30</v>
      </c>
      <c r="N26" s="22">
        <f>(E13+F13)/2</f>
        <v>0.80649427095319881</v>
      </c>
      <c r="O26" s="23">
        <f>O22+O23</f>
        <v>-1294229.3</v>
      </c>
    </row>
    <row r="27" spans="2:15" x14ac:dyDescent="0.35">
      <c r="B27" s="3"/>
      <c r="C27" s="4"/>
      <c r="D27" s="4"/>
      <c r="E27" s="4"/>
      <c r="F27" s="72"/>
      <c r="G27" s="72"/>
      <c r="M27" s="3" t="s">
        <v>31</v>
      </c>
      <c r="N27" s="22">
        <f>(D13+G13)/2</f>
        <v>0.7968699954049514</v>
      </c>
      <c r="O27" s="23">
        <f>O21+O24</f>
        <v>-1294229.3</v>
      </c>
    </row>
    <row r="28" spans="2:15" x14ac:dyDescent="0.35">
      <c r="B28" s="3" t="s">
        <v>32</v>
      </c>
      <c r="C28" s="11">
        <f>SUM(C20:C25)</f>
        <v>0</v>
      </c>
      <c r="D28" s="11">
        <f>SUM(D20:D25)</f>
        <v>0</v>
      </c>
      <c r="E28" s="11">
        <f>SUM(E20:E25)</f>
        <v>0</v>
      </c>
      <c r="F28" s="23">
        <f>SUM(F20:F25)</f>
        <v>0</v>
      </c>
      <c r="G28" s="23">
        <f>SUM(G20:G25)</f>
        <v>0</v>
      </c>
      <c r="M28" s="3" t="s">
        <v>33</v>
      </c>
      <c r="N28" s="22">
        <f>(E13+G13)/2</f>
        <v>0.82726111591235096</v>
      </c>
      <c r="O28" s="23">
        <f>O22+O24</f>
        <v>-1294229.3</v>
      </c>
    </row>
    <row r="29" spans="2:15" x14ac:dyDescent="0.35">
      <c r="C29" s="16"/>
      <c r="D29" s="16"/>
      <c r="E29" s="16"/>
      <c r="F29" s="69"/>
      <c r="G29" s="69"/>
      <c r="J29" s="114"/>
      <c r="K29" s="114"/>
      <c r="L29" s="114"/>
      <c r="N29" s="59"/>
      <c r="O29" s="60"/>
    </row>
    <row r="30" spans="2:15" x14ac:dyDescent="0.35">
      <c r="F30" s="68"/>
      <c r="G30" s="69"/>
      <c r="N30" s="59"/>
      <c r="O30" s="60"/>
    </row>
    <row r="31" spans="2:15" x14ac:dyDescent="0.35">
      <c r="B31" s="19"/>
      <c r="F31" s="70"/>
      <c r="G31" s="70"/>
      <c r="N31" s="59"/>
      <c r="O31" s="60"/>
    </row>
    <row r="32" spans="2:15" x14ac:dyDescent="0.35">
      <c r="F32" s="70"/>
      <c r="G32" s="70"/>
      <c r="N32" s="61"/>
      <c r="O32" s="60"/>
    </row>
    <row r="33" spans="2:13" x14ac:dyDescent="0.35">
      <c r="B33" s="1" t="s">
        <v>34</v>
      </c>
      <c r="C33" s="1" t="s">
        <v>4</v>
      </c>
      <c r="D33" s="1" t="s">
        <v>5</v>
      </c>
      <c r="E33" s="1" t="s">
        <v>6</v>
      </c>
      <c r="F33" s="71" t="s">
        <v>7</v>
      </c>
      <c r="G33" s="71" t="s">
        <v>8</v>
      </c>
    </row>
    <row r="34" spans="2:13" x14ac:dyDescent="0.35">
      <c r="B34" s="3" t="s">
        <v>35</v>
      </c>
      <c r="C34" s="3"/>
      <c r="D34" s="3"/>
      <c r="E34" s="3"/>
      <c r="F34" s="68"/>
      <c r="G34" s="68"/>
      <c r="M34" s="19"/>
    </row>
    <row r="35" spans="2:13" x14ac:dyDescent="0.35">
      <c r="B35" s="3" t="str">
        <f>J3</f>
        <v>Espa barnehage</v>
      </c>
      <c r="C35" s="20"/>
      <c r="D35" s="12">
        <f>L18*50%*-1</f>
        <v>-497780.5</v>
      </c>
      <c r="E35" s="103" t="s">
        <v>11</v>
      </c>
      <c r="F35" s="67"/>
      <c r="G35" s="22"/>
    </row>
    <row r="36" spans="2:13" x14ac:dyDescent="0.35">
      <c r="B36" s="3" t="str">
        <f>J4</f>
        <v>Romedal barnehage</v>
      </c>
      <c r="C36" s="20"/>
      <c r="D36" s="56"/>
      <c r="E36" s="9"/>
      <c r="F36" s="74" t="s">
        <v>13</v>
      </c>
      <c r="G36" s="77" t="s">
        <v>14</v>
      </c>
    </row>
    <row r="37" spans="2:13" x14ac:dyDescent="0.35">
      <c r="B37" s="3" t="str">
        <f>J5</f>
        <v>Tangen barnehage</v>
      </c>
      <c r="C37" s="20"/>
      <c r="D37" s="12" t="s">
        <v>16</v>
      </c>
      <c r="E37" s="12">
        <f>L18*50%*-1</f>
        <v>-497780.5</v>
      </c>
      <c r="F37" s="22"/>
      <c r="G37" s="22"/>
    </row>
    <row r="38" spans="2:13" x14ac:dyDescent="0.35">
      <c r="B38" s="3" t="str">
        <f>J6</f>
        <v>Vallset barnehage</v>
      </c>
      <c r="C38" s="20"/>
      <c r="D38" s="9"/>
      <c r="E38" s="9"/>
      <c r="F38" s="74" t="s">
        <v>13</v>
      </c>
      <c r="G38" s="22"/>
    </row>
    <row r="39" spans="2:13" x14ac:dyDescent="0.35">
      <c r="B39" s="3" t="str">
        <f>J7</f>
        <v>Åsbygda barnehage</v>
      </c>
      <c r="C39" s="20"/>
      <c r="D39" s="9"/>
      <c r="E39" s="56"/>
      <c r="F39" s="74" t="s">
        <v>13</v>
      </c>
      <c r="G39" s="76" t="s">
        <v>13</v>
      </c>
    </row>
    <row r="40" spans="2:13" x14ac:dyDescent="0.35">
      <c r="B40" s="3" t="s">
        <v>18</v>
      </c>
      <c r="C40" s="20"/>
      <c r="D40" s="23"/>
      <c r="E40" s="54"/>
      <c r="F40" s="78">
        <f>L18*80%*-1</f>
        <v>-796448.8</v>
      </c>
      <c r="G40" s="54"/>
    </row>
    <row r="41" spans="2:13" x14ac:dyDescent="0.35">
      <c r="B41" s="3" t="s">
        <v>19</v>
      </c>
      <c r="C41" s="11"/>
      <c r="D41" s="11"/>
      <c r="E41" s="11"/>
      <c r="F41" s="23"/>
      <c r="G41" s="52">
        <f>L18*80%*-1</f>
        <v>-796448.8</v>
      </c>
    </row>
    <row r="42" spans="2:13" x14ac:dyDescent="0.35">
      <c r="B42" s="3"/>
      <c r="C42" s="4"/>
      <c r="D42" s="4"/>
      <c r="E42" s="4"/>
      <c r="F42" s="72"/>
      <c r="G42" s="72"/>
    </row>
    <row r="43" spans="2:13" x14ac:dyDescent="0.35">
      <c r="B43" s="3" t="s">
        <v>32</v>
      </c>
      <c r="C43" s="11">
        <f>SUM(C35:C40)</f>
        <v>0</v>
      </c>
      <c r="D43" s="11">
        <f t="shared" ref="D43:F43" si="3">SUM(D35:D40)</f>
        <v>-497780.5</v>
      </c>
      <c r="E43" s="11">
        <f t="shared" si="3"/>
        <v>-497780.5</v>
      </c>
      <c r="F43" s="23">
        <f t="shared" si="3"/>
        <v>-796448.8</v>
      </c>
      <c r="G43" s="23">
        <f>SUM(G35:G41)</f>
        <v>-796448.8</v>
      </c>
    </row>
    <row r="44" spans="2:13" x14ac:dyDescent="0.35">
      <c r="C44" s="16"/>
      <c r="D44" s="16"/>
      <c r="E44" s="16"/>
      <c r="F44" s="16"/>
      <c r="G44" s="16"/>
    </row>
    <row r="45" spans="2:13" x14ac:dyDescent="0.35">
      <c r="F45" s="3"/>
      <c r="G45" s="16"/>
    </row>
    <row r="48" spans="2:13" x14ac:dyDescent="0.35">
      <c r="B48" t="s">
        <v>5</v>
      </c>
      <c r="C48" t="s">
        <v>36</v>
      </c>
    </row>
    <row r="49" spans="2:3" x14ac:dyDescent="0.35">
      <c r="B49" t="s">
        <v>6</v>
      </c>
      <c r="C49" t="s">
        <v>37</v>
      </c>
    </row>
    <row r="50" spans="2:3" x14ac:dyDescent="0.35">
      <c r="B50" t="s">
        <v>7</v>
      </c>
      <c r="C50" t="s">
        <v>38</v>
      </c>
    </row>
    <row r="51" spans="2:3" x14ac:dyDescent="0.35">
      <c r="B51" t="s">
        <v>8</v>
      </c>
      <c r="C51" t="s">
        <v>39</v>
      </c>
    </row>
  </sheetData>
  <mergeCells count="3">
    <mergeCell ref="M18:O18"/>
    <mergeCell ref="J15:L15"/>
    <mergeCell ref="J29:L29"/>
  </mergeCells>
  <phoneticPr fontId="3" type="noConversion"/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U69"/>
  <sheetViews>
    <sheetView zoomScale="90" zoomScaleNormal="90" workbookViewId="0">
      <selection activeCell="V31" sqref="V31"/>
    </sheetView>
  </sheetViews>
  <sheetFormatPr baseColWidth="10" defaultColWidth="11.453125" defaultRowHeight="14.5" x14ac:dyDescent="0.35"/>
  <cols>
    <col min="2" max="2" width="28.81640625" customWidth="1"/>
    <col min="3" max="5" width="15.26953125" customWidth="1"/>
    <col min="6" max="6" width="16" customWidth="1"/>
    <col min="7" max="7" width="15.7265625" customWidth="1"/>
    <col min="10" max="10" width="20.1796875" customWidth="1"/>
    <col min="11" max="11" width="15.26953125" customWidth="1"/>
    <col min="12" max="12" width="14.26953125" customWidth="1"/>
    <col min="13" max="13" width="19.1796875" customWidth="1"/>
    <col min="14" max="14" width="15.7265625" customWidth="1"/>
    <col min="15" max="16" width="14.54296875" customWidth="1"/>
    <col min="17" max="17" width="17" customWidth="1"/>
    <col min="21" max="21" width="13.26953125" bestFit="1" customWidth="1"/>
  </cols>
  <sheetData>
    <row r="2" spans="2:17" ht="29" x14ac:dyDescent="0.35">
      <c r="J2" s="5" t="s">
        <v>0</v>
      </c>
      <c r="K2" s="6" t="s">
        <v>40</v>
      </c>
      <c r="L2" s="13" t="s">
        <v>41</v>
      </c>
    </row>
    <row r="3" spans="2:17" x14ac:dyDescent="0.35">
      <c r="B3" s="1" t="s">
        <v>42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J3" s="7" t="s">
        <v>9</v>
      </c>
      <c r="K3" s="47">
        <v>264</v>
      </c>
      <c r="L3" s="48">
        <v>1290</v>
      </c>
      <c r="M3" s="127" t="s">
        <v>91</v>
      </c>
      <c r="N3" s="114"/>
      <c r="O3" s="114"/>
    </row>
    <row r="4" spans="2:17" x14ac:dyDescent="0.35">
      <c r="B4" s="3"/>
      <c r="C4" s="3"/>
      <c r="D4" s="3"/>
      <c r="E4" s="3"/>
      <c r="F4" s="3"/>
      <c r="G4" s="3"/>
      <c r="J4" s="7" t="s">
        <v>10</v>
      </c>
      <c r="K4" s="47">
        <v>573</v>
      </c>
      <c r="L4" s="48">
        <v>2965</v>
      </c>
    </row>
    <row r="5" spans="2:17" x14ac:dyDescent="0.35">
      <c r="B5" s="3" t="str">
        <f>J3</f>
        <v>Espa barnehage</v>
      </c>
      <c r="C5" s="56">
        <f>K3</f>
        <v>264</v>
      </c>
      <c r="D5" s="76">
        <f>C5+1678</f>
        <v>1942</v>
      </c>
      <c r="E5" s="76" t="s">
        <v>11</v>
      </c>
      <c r="F5" s="56">
        <f>C5</f>
        <v>264</v>
      </c>
      <c r="G5" s="56">
        <f>C5</f>
        <v>264</v>
      </c>
      <c r="J5" s="7" t="s">
        <v>12</v>
      </c>
      <c r="K5" s="47">
        <v>626</v>
      </c>
      <c r="L5" s="48">
        <f>3212-657</f>
        <v>2555</v>
      </c>
      <c r="M5" t="s">
        <v>43</v>
      </c>
    </row>
    <row r="6" spans="2:17" x14ac:dyDescent="0.35">
      <c r="B6" s="3" t="str">
        <f t="shared" ref="B6:B9" si="0">J4</f>
        <v>Romedal barnehage</v>
      </c>
      <c r="C6" s="56">
        <f>K4</f>
        <v>573</v>
      </c>
      <c r="D6" s="56">
        <f>C6</f>
        <v>573</v>
      </c>
      <c r="E6" s="56">
        <f>C6</f>
        <v>573</v>
      </c>
      <c r="F6" s="15" t="s">
        <v>13</v>
      </c>
      <c r="G6" s="15" t="s">
        <v>13</v>
      </c>
      <c r="J6" s="7" t="s">
        <v>15</v>
      </c>
      <c r="K6" s="47">
        <v>817</v>
      </c>
      <c r="L6" s="48">
        <v>3540</v>
      </c>
      <c r="M6" t="s">
        <v>44</v>
      </c>
      <c r="Q6">
        <f>4379-(785+54)</f>
        <v>3540</v>
      </c>
    </row>
    <row r="7" spans="2:17" x14ac:dyDescent="0.35">
      <c r="B7" s="3" t="str">
        <f t="shared" si="0"/>
        <v>Tangen barnehage</v>
      </c>
      <c r="C7" s="56">
        <f>K5</f>
        <v>626</v>
      </c>
      <c r="D7" s="15" t="s">
        <v>16</v>
      </c>
      <c r="E7" s="15">
        <f>C7</f>
        <v>626</v>
      </c>
      <c r="F7" s="56">
        <f>C7</f>
        <v>626</v>
      </c>
      <c r="G7" s="56">
        <f>C7</f>
        <v>626</v>
      </c>
      <c r="J7" s="7" t="s">
        <v>17</v>
      </c>
      <c r="K7" s="47">
        <v>832</v>
      </c>
      <c r="L7" s="48">
        <v>2817</v>
      </c>
    </row>
    <row r="8" spans="2:17" x14ac:dyDescent="0.35">
      <c r="B8" s="3" t="str">
        <f t="shared" si="0"/>
        <v>Vallset barnehage</v>
      </c>
      <c r="C8" s="56">
        <f t="shared" ref="C8:C9" si="1">K6</f>
        <v>817</v>
      </c>
      <c r="D8" s="56">
        <f>C8</f>
        <v>817</v>
      </c>
      <c r="E8" s="56">
        <f>C8</f>
        <v>817</v>
      </c>
      <c r="F8" s="15" t="s">
        <v>13</v>
      </c>
      <c r="G8" s="56">
        <f>C8</f>
        <v>817</v>
      </c>
      <c r="J8" s="7"/>
      <c r="K8" s="47"/>
      <c r="L8" s="48"/>
    </row>
    <row r="9" spans="2:17" x14ac:dyDescent="0.35">
      <c r="B9" s="3" t="str">
        <f t="shared" si="0"/>
        <v>Åsbygda barnehage</v>
      </c>
      <c r="C9" s="56">
        <f t="shared" si="1"/>
        <v>832</v>
      </c>
      <c r="D9" s="56">
        <f>C9</f>
        <v>832</v>
      </c>
      <c r="E9" s="56">
        <f>C9</f>
        <v>832</v>
      </c>
      <c r="F9" s="15" t="s">
        <v>13</v>
      </c>
      <c r="G9" s="15" t="s">
        <v>13</v>
      </c>
      <c r="J9" s="7" t="s">
        <v>18</v>
      </c>
      <c r="K9" s="48">
        <v>2005</v>
      </c>
      <c r="L9" s="48">
        <v>6874</v>
      </c>
    </row>
    <row r="10" spans="2:17" x14ac:dyDescent="0.35">
      <c r="B10" s="3" t="s">
        <v>18</v>
      </c>
      <c r="C10" s="56"/>
      <c r="D10" s="56"/>
      <c r="E10" s="56"/>
      <c r="F10" s="107">
        <f>K9</f>
        <v>2005</v>
      </c>
      <c r="G10" s="99"/>
      <c r="J10" s="7"/>
      <c r="K10" s="48"/>
      <c r="L10" s="110"/>
    </row>
    <row r="11" spans="2:17" x14ac:dyDescent="0.35">
      <c r="B11" s="3" t="s">
        <v>19</v>
      </c>
      <c r="C11" s="56"/>
      <c r="D11" s="56"/>
      <c r="E11" s="56"/>
      <c r="F11" s="99"/>
      <c r="G11" s="108">
        <f>K11</f>
        <v>1343.3500000000001</v>
      </c>
      <c r="J11" s="7" t="s">
        <v>19</v>
      </c>
      <c r="K11" s="48">
        <f>K9*0.67</f>
        <v>1343.3500000000001</v>
      </c>
      <c r="L11" s="48">
        <v>6874</v>
      </c>
    </row>
    <row r="12" spans="2:17" x14ac:dyDescent="0.35">
      <c r="B12" s="3"/>
      <c r="C12" s="16"/>
      <c r="D12" s="16"/>
      <c r="E12" s="16"/>
      <c r="F12" s="16"/>
      <c r="G12" s="16"/>
      <c r="J12" s="7"/>
      <c r="K12" s="47"/>
      <c r="L12" s="48"/>
    </row>
    <row r="13" spans="2:17" x14ac:dyDescent="0.35">
      <c r="B13" s="3" t="s">
        <v>45</v>
      </c>
      <c r="C13" s="56">
        <f>SUM(C5:C11)</f>
        <v>3112</v>
      </c>
      <c r="D13" s="56">
        <f>SUM(D5:D11)</f>
        <v>4164</v>
      </c>
      <c r="E13" s="56">
        <f>SUM(E5:E11)</f>
        <v>2848</v>
      </c>
      <c r="F13" s="56">
        <f>SUM(F5:F11)</f>
        <v>2895</v>
      </c>
      <c r="G13" s="104">
        <f>SUM(G5:G11)</f>
        <v>3050.3500000000004</v>
      </c>
      <c r="J13" s="7"/>
      <c r="K13" s="8"/>
      <c r="L13" s="8"/>
    </row>
    <row r="14" spans="2:17" x14ac:dyDescent="0.35">
      <c r="C14" s="16"/>
      <c r="D14" s="16"/>
      <c r="E14" s="16"/>
      <c r="F14" s="16"/>
      <c r="G14" s="16"/>
    </row>
    <row r="15" spans="2:17" x14ac:dyDescent="0.35">
      <c r="J15" s="129" t="s">
        <v>46</v>
      </c>
      <c r="K15" s="129"/>
      <c r="N15" s="19"/>
    </row>
    <row r="16" spans="2:17" x14ac:dyDescent="0.35">
      <c r="J16" s="130">
        <v>1500</v>
      </c>
      <c r="K16" s="130"/>
      <c r="M16" t="s">
        <v>47</v>
      </c>
    </row>
    <row r="18" spans="2:16" x14ac:dyDescent="0.35">
      <c r="B18" s="1" t="s">
        <v>48</v>
      </c>
      <c r="C18" s="2" t="s">
        <v>4</v>
      </c>
      <c r="D18" s="2" t="s">
        <v>5</v>
      </c>
      <c r="E18" s="2" t="s">
        <v>6</v>
      </c>
      <c r="F18" s="2" t="s">
        <v>7</v>
      </c>
      <c r="G18" s="2" t="s">
        <v>8</v>
      </c>
      <c r="J18" s="129" t="s">
        <v>49</v>
      </c>
      <c r="K18" s="129"/>
    </row>
    <row r="19" spans="2:16" x14ac:dyDescent="0.35">
      <c r="B19" s="3" t="s">
        <v>50</v>
      </c>
      <c r="C19" s="3"/>
      <c r="D19" s="3"/>
      <c r="E19" s="3"/>
      <c r="F19" s="3"/>
      <c r="G19" s="3"/>
      <c r="J19" s="131">
        <f>355*20</f>
        <v>7100</v>
      </c>
      <c r="K19" s="132"/>
      <c r="M19" t="s">
        <v>51</v>
      </c>
    </row>
    <row r="20" spans="2:16" x14ac:dyDescent="0.35">
      <c r="B20" s="3" t="str">
        <f>J3</f>
        <v>Espa barnehage</v>
      </c>
      <c r="C20" s="11">
        <f>(K3*J16)+(L3*J22)</f>
        <v>441150</v>
      </c>
      <c r="D20" s="12">
        <f>(D5*J16)+(1290+5060)*J22</f>
        <v>3135250</v>
      </c>
      <c r="E20" s="103" t="s">
        <v>11</v>
      </c>
      <c r="F20" s="17">
        <f>C20</f>
        <v>441150</v>
      </c>
      <c r="G20" s="17">
        <f>C20</f>
        <v>441150</v>
      </c>
    </row>
    <row r="21" spans="2:16" x14ac:dyDescent="0.35">
      <c r="B21" s="3" t="str">
        <f>J4</f>
        <v>Romedal barnehage</v>
      </c>
      <c r="C21" s="11">
        <f>(K4*J16)+(L4*J22)</f>
        <v>963275</v>
      </c>
      <c r="D21" s="17">
        <f>C21</f>
        <v>963275</v>
      </c>
      <c r="E21" s="17">
        <f>C21</f>
        <v>963275</v>
      </c>
      <c r="F21" s="103" t="s">
        <v>13</v>
      </c>
      <c r="G21" s="103" t="s">
        <v>13</v>
      </c>
      <c r="J21" s="129" t="s">
        <v>52</v>
      </c>
      <c r="K21" s="129"/>
    </row>
    <row r="22" spans="2:16" ht="15" customHeight="1" x14ac:dyDescent="0.35">
      <c r="B22" s="3" t="str">
        <f>J5</f>
        <v>Tangen barnehage</v>
      </c>
      <c r="C22" s="11">
        <f>(K5*J16)+(L5*J22)</f>
        <v>1028425</v>
      </c>
      <c r="D22" s="103" t="s">
        <v>16</v>
      </c>
      <c r="E22" s="12">
        <f>C22</f>
        <v>1028425</v>
      </c>
      <c r="F22" s="11">
        <f>C22</f>
        <v>1028425</v>
      </c>
      <c r="G22" s="11">
        <f>C22</f>
        <v>1028425</v>
      </c>
      <c r="J22" s="130">
        <v>35</v>
      </c>
      <c r="K22" s="130"/>
      <c r="M22" t="s">
        <v>53</v>
      </c>
      <c r="N22" s="57"/>
      <c r="O22" s="57"/>
      <c r="P22" s="57"/>
    </row>
    <row r="23" spans="2:16" x14ac:dyDescent="0.35">
      <c r="B23" s="3" t="str">
        <f>J6</f>
        <v>Vallset barnehage</v>
      </c>
      <c r="C23" s="11">
        <f>(K6*J16)+(L6*J22)</f>
        <v>1349400</v>
      </c>
      <c r="D23" s="11">
        <f>C23</f>
        <v>1349400</v>
      </c>
      <c r="E23" s="11">
        <f>C23</f>
        <v>1349400</v>
      </c>
      <c r="F23" s="103" t="s">
        <v>13</v>
      </c>
      <c r="G23" s="11">
        <f>C23</f>
        <v>1349400</v>
      </c>
      <c r="M23" s="57"/>
      <c r="N23" s="57"/>
      <c r="O23" s="57"/>
      <c r="P23" s="57"/>
    </row>
    <row r="24" spans="2:16" x14ac:dyDescent="0.35">
      <c r="B24" s="3" t="str">
        <f>J7</f>
        <v>Åsbygda barnehage</v>
      </c>
      <c r="C24" s="11">
        <f>(K7*J16)+(L7*J22)</f>
        <v>1346595</v>
      </c>
      <c r="D24" s="11">
        <f>C24</f>
        <v>1346595</v>
      </c>
      <c r="E24" s="11">
        <f>C24</f>
        <v>1346595</v>
      </c>
      <c r="F24" s="15" t="s">
        <v>13</v>
      </c>
      <c r="G24" s="103" t="s">
        <v>13</v>
      </c>
      <c r="J24" s="8" t="s">
        <v>54</v>
      </c>
      <c r="K24" s="8"/>
      <c r="M24" t="s">
        <v>55</v>
      </c>
    </row>
    <row r="25" spans="2:16" x14ac:dyDescent="0.35">
      <c r="B25" s="3" t="s">
        <v>18</v>
      </c>
      <c r="C25" s="11"/>
      <c r="D25" s="11"/>
      <c r="E25" s="11"/>
      <c r="F25" s="109">
        <f>(K9*J16)+(L9*J22)</f>
        <v>3248090</v>
      </c>
      <c r="G25" s="100"/>
    </row>
    <row r="26" spans="2:16" x14ac:dyDescent="0.35">
      <c r="B26" s="3" t="s">
        <v>19</v>
      </c>
      <c r="C26" s="11"/>
      <c r="D26" s="11"/>
      <c r="E26" s="11"/>
      <c r="F26" s="99"/>
      <c r="G26" s="109">
        <f>(K11*J16)+(L11*J22)</f>
        <v>2255615</v>
      </c>
      <c r="J26" s="133" t="s">
        <v>56</v>
      </c>
      <c r="K26" s="134"/>
    </row>
    <row r="27" spans="2:16" x14ac:dyDescent="0.35">
      <c r="B27" s="3"/>
      <c r="C27" s="4"/>
      <c r="D27" s="4"/>
      <c r="E27" s="4"/>
      <c r="F27" s="4"/>
      <c r="G27" s="4"/>
      <c r="J27" s="119">
        <v>108</v>
      </c>
      <c r="K27" s="120"/>
      <c r="M27" t="s">
        <v>57</v>
      </c>
    </row>
    <row r="28" spans="2:16" x14ac:dyDescent="0.35">
      <c r="B28" s="3" t="s">
        <v>32</v>
      </c>
      <c r="C28" s="11">
        <f>SUM(C20:C26)</f>
        <v>5128845</v>
      </c>
      <c r="D28" s="11">
        <f>SUM(D20:D26)</f>
        <v>6794520</v>
      </c>
      <c r="E28" s="11">
        <f>SUM(E20:E26)</f>
        <v>4687695</v>
      </c>
      <c r="F28" s="11">
        <f>SUM(F20:F26)</f>
        <v>4717665</v>
      </c>
      <c r="G28" s="11">
        <f>SUM(G20:G26)</f>
        <v>5074590</v>
      </c>
      <c r="J28" s="50" t="s">
        <v>58</v>
      </c>
      <c r="K28" s="51">
        <f>J27*20</f>
        <v>2160</v>
      </c>
    </row>
    <row r="29" spans="2:16" x14ac:dyDescent="0.35">
      <c r="C29" s="16"/>
      <c r="D29" s="16"/>
      <c r="E29" s="16"/>
      <c r="F29" s="16"/>
      <c r="G29" s="16"/>
    </row>
    <row r="30" spans="2:16" x14ac:dyDescent="0.35">
      <c r="G30" s="105"/>
      <c r="J30" s="8" t="s">
        <v>59</v>
      </c>
      <c r="K30" s="8"/>
      <c r="M30" t="s">
        <v>60</v>
      </c>
      <c r="N30" s="70" t="s">
        <v>61</v>
      </c>
    </row>
    <row r="33" spans="2:21" x14ac:dyDescent="0.35">
      <c r="B33" s="1" t="s">
        <v>62</v>
      </c>
      <c r="C33" s="2" t="s">
        <v>4</v>
      </c>
      <c r="D33" s="2" t="s">
        <v>5</v>
      </c>
      <c r="E33" s="2" t="s">
        <v>6</v>
      </c>
      <c r="F33" s="2" t="s">
        <v>7</v>
      </c>
      <c r="G33" s="2" t="s">
        <v>8</v>
      </c>
      <c r="J33" s="121" t="s">
        <v>63</v>
      </c>
      <c r="K33" s="122"/>
      <c r="L33" s="122"/>
      <c r="M33" s="122"/>
      <c r="N33" s="122"/>
      <c r="O33" s="122"/>
      <c r="P33" s="122"/>
      <c r="Q33" s="123"/>
    </row>
    <row r="34" spans="2:21" x14ac:dyDescent="0.35">
      <c r="B34" s="3"/>
      <c r="C34" s="3"/>
      <c r="D34" s="3"/>
      <c r="E34" s="3"/>
      <c r="F34" s="3"/>
      <c r="G34" s="3"/>
      <c r="J34" s="2"/>
      <c r="K34" s="2" t="s">
        <v>3</v>
      </c>
      <c r="L34" s="2" t="s">
        <v>64</v>
      </c>
      <c r="M34" s="2" t="s">
        <v>65</v>
      </c>
      <c r="N34" s="2" t="s">
        <v>66</v>
      </c>
      <c r="O34" s="2" t="s">
        <v>67</v>
      </c>
      <c r="P34" s="2" t="s">
        <v>68</v>
      </c>
      <c r="Q34" s="2"/>
    </row>
    <row r="35" spans="2:21" x14ac:dyDescent="0.35">
      <c r="B35" s="3" t="str">
        <f>J3</f>
        <v>Espa barnehage</v>
      </c>
      <c r="C35" s="11">
        <f>K3*J19</f>
        <v>1874400</v>
      </c>
      <c r="D35" s="12">
        <f>(D5*J19)</f>
        <v>13788200</v>
      </c>
      <c r="E35" s="103" t="s">
        <v>11</v>
      </c>
      <c r="F35" s="17">
        <f>C35</f>
        <v>1874400</v>
      </c>
      <c r="G35" s="17">
        <f>C35</f>
        <v>1874400</v>
      </c>
      <c r="J35" s="3" t="s">
        <v>4</v>
      </c>
      <c r="K35" s="22">
        <f>Barnehagedrift!N20</f>
        <v>0.76599621862080336</v>
      </c>
      <c r="L35" s="23"/>
      <c r="M35" s="23">
        <f>Barnehagedrift!O20</f>
        <v>0</v>
      </c>
      <c r="N35" s="102">
        <f>C13</f>
        <v>3112</v>
      </c>
      <c r="O35" s="23">
        <f>C28</f>
        <v>5128845</v>
      </c>
      <c r="P35" s="23">
        <f t="shared" ref="P35:P42" si="2">L35+M35+O35</f>
        <v>5128845</v>
      </c>
      <c r="Q35" s="23"/>
      <c r="U35" s="79"/>
    </row>
    <row r="36" spans="2:21" x14ac:dyDescent="0.35">
      <c r="B36" s="3" t="str">
        <f>J4</f>
        <v>Romedal barnehage</v>
      </c>
      <c r="C36" s="11">
        <f>K4*J19</f>
        <v>4068300</v>
      </c>
      <c r="D36" s="17">
        <f>C36</f>
        <v>4068300</v>
      </c>
      <c r="E36" s="17">
        <f>C36</f>
        <v>4068300</v>
      </c>
      <c r="F36" s="103" t="s">
        <v>13</v>
      </c>
      <c r="G36" s="103" t="s">
        <v>13</v>
      </c>
      <c r="J36" s="3" t="s">
        <v>5</v>
      </c>
      <c r="K36" s="22">
        <f>Barnehagedrift!N21</f>
        <v>0.84200901534788586</v>
      </c>
      <c r="L36" s="23"/>
      <c r="M36" s="23">
        <f>Barnehagedrift!O21</f>
        <v>-497780.5</v>
      </c>
      <c r="N36" s="102">
        <f>D13</f>
        <v>4164</v>
      </c>
      <c r="O36" s="23">
        <f>D28-O35</f>
        <v>1665675</v>
      </c>
      <c r="P36" s="23">
        <f>L36+M36+O36</f>
        <v>1167894.5</v>
      </c>
      <c r="Q36" s="23"/>
      <c r="U36" s="79"/>
    </row>
    <row r="37" spans="2:21" x14ac:dyDescent="0.35">
      <c r="B37" s="3" t="str">
        <f>J5</f>
        <v>Tangen barnehage</v>
      </c>
      <c r="C37" s="11">
        <f>K5*J19</f>
        <v>4444600</v>
      </c>
      <c r="D37" s="103" t="s">
        <v>16</v>
      </c>
      <c r="E37" s="12">
        <f>C37</f>
        <v>4444600</v>
      </c>
      <c r="F37" s="11">
        <f>C37</f>
        <v>4444600</v>
      </c>
      <c r="G37" s="11">
        <f>C37</f>
        <v>4444600</v>
      </c>
      <c r="J37" s="3" t="s">
        <v>6</v>
      </c>
      <c r="K37" s="22">
        <f>Barnehagedrift!N22</f>
        <v>0.90279125636268498</v>
      </c>
      <c r="L37" s="23"/>
      <c r="M37" s="23">
        <f>Barnehagedrift!O22</f>
        <v>-497780.5</v>
      </c>
      <c r="N37" s="102">
        <f>E13</f>
        <v>2848</v>
      </c>
      <c r="O37" s="23">
        <f>E28-O35</f>
        <v>-441150</v>
      </c>
      <c r="P37" s="23">
        <f t="shared" si="2"/>
        <v>-938930.5</v>
      </c>
      <c r="Q37" s="23"/>
      <c r="U37" s="79"/>
    </row>
    <row r="38" spans="2:21" x14ac:dyDescent="0.35">
      <c r="B38" s="3" t="str">
        <f>J6</f>
        <v>Vallset barnehage</v>
      </c>
      <c r="C38" s="11">
        <f>K6*J19</f>
        <v>5800700</v>
      </c>
      <c r="D38" s="11">
        <f>C38</f>
        <v>5800700</v>
      </c>
      <c r="E38" s="11">
        <f>C38</f>
        <v>5800700</v>
      </c>
      <c r="F38" s="103" t="s">
        <v>13</v>
      </c>
      <c r="G38" s="11">
        <f>C38</f>
        <v>5800700</v>
      </c>
      <c r="J38" s="3" t="s">
        <v>7</v>
      </c>
      <c r="K38" s="22">
        <f>Barnehagedrift!N23</f>
        <v>0.71019728554371275</v>
      </c>
      <c r="L38" s="23"/>
      <c r="M38" s="23">
        <f>Barnehagedrift!O23</f>
        <v>-796448.8</v>
      </c>
      <c r="N38" s="102">
        <f>F13</f>
        <v>2895</v>
      </c>
      <c r="O38" s="23">
        <f>F28-O35</f>
        <v>-411180</v>
      </c>
      <c r="P38" s="23">
        <f t="shared" si="2"/>
        <v>-1207628.8</v>
      </c>
      <c r="Q38" s="23"/>
      <c r="U38" s="79"/>
    </row>
    <row r="39" spans="2:21" x14ac:dyDescent="0.35">
      <c r="B39" s="3" t="str">
        <f>J7</f>
        <v>Åsbygda barnehage</v>
      </c>
      <c r="C39" s="11">
        <f>K7*J19</f>
        <v>5907200</v>
      </c>
      <c r="D39" s="11">
        <f>C39</f>
        <v>5907200</v>
      </c>
      <c r="E39" s="11">
        <f>C39</f>
        <v>5907200</v>
      </c>
      <c r="F39" s="15" t="s">
        <v>13</v>
      </c>
      <c r="G39" s="78" t="s">
        <v>13</v>
      </c>
      <c r="J39" s="3" t="s">
        <v>8</v>
      </c>
      <c r="K39" s="22">
        <f>Barnehagedrift!N24</f>
        <v>0.75173097546201695</v>
      </c>
      <c r="L39" s="23"/>
      <c r="M39" s="23">
        <f>Barnehagedrift!O24</f>
        <v>-796448.8</v>
      </c>
      <c r="N39" s="102">
        <f>G13</f>
        <v>3050.3500000000004</v>
      </c>
      <c r="O39" s="23">
        <f>G28-O35</f>
        <v>-54255</v>
      </c>
      <c r="P39" s="23">
        <f t="shared" si="2"/>
        <v>-850703.8</v>
      </c>
      <c r="Q39" s="23"/>
      <c r="U39" s="79"/>
    </row>
    <row r="40" spans="2:21" x14ac:dyDescent="0.35">
      <c r="B40" s="3" t="s">
        <v>18</v>
      </c>
      <c r="C40" s="11">
        <f>K9*K28</f>
        <v>4330800</v>
      </c>
      <c r="D40" s="11"/>
      <c r="E40" s="11"/>
      <c r="F40" s="103">
        <f>K9*K28</f>
        <v>4330800</v>
      </c>
      <c r="G40" s="101"/>
      <c r="J40" s="3"/>
      <c r="K40" s="22"/>
      <c r="L40" s="23"/>
      <c r="M40" s="23"/>
      <c r="N40" s="102"/>
      <c r="O40" s="23"/>
      <c r="P40" s="23"/>
      <c r="Q40" s="23"/>
      <c r="U40" s="79"/>
    </row>
    <row r="41" spans="2:21" x14ac:dyDescent="0.35">
      <c r="B41" s="3" t="s">
        <v>19</v>
      </c>
      <c r="C41" s="11">
        <f>K11*K28</f>
        <v>2901636.0000000005</v>
      </c>
      <c r="D41" s="11"/>
      <c r="E41" s="11"/>
      <c r="F41" s="99"/>
      <c r="G41" s="103">
        <f>K11*K28</f>
        <v>2901636.0000000005</v>
      </c>
      <c r="J41" s="3" t="s">
        <v>29</v>
      </c>
      <c r="K41" s="22">
        <f>Barnehagedrift!N25</f>
        <v>0.77610315044579936</v>
      </c>
      <c r="L41" s="23"/>
      <c r="M41" s="23">
        <f>Barnehagedrift!O25</f>
        <v>-1294229.3</v>
      </c>
      <c r="N41" s="102">
        <f>D5+F10</f>
        <v>3947</v>
      </c>
      <c r="O41" s="23">
        <f>O36+O38</f>
        <v>1254495</v>
      </c>
      <c r="P41" s="23">
        <f>L41+M41+O41</f>
        <v>-39734.300000000047</v>
      </c>
      <c r="Q41" s="23"/>
      <c r="U41" s="79"/>
    </row>
    <row r="42" spans="2:21" x14ac:dyDescent="0.35">
      <c r="B42" s="3"/>
      <c r="C42" s="4"/>
      <c r="D42" s="4"/>
      <c r="E42" s="4"/>
      <c r="F42" s="4"/>
      <c r="G42" s="4"/>
      <c r="J42" s="3" t="s">
        <v>30</v>
      </c>
      <c r="K42" s="22">
        <f>Barnehagedrift!N26</f>
        <v>0.80649427095319881</v>
      </c>
      <c r="L42" s="23"/>
      <c r="M42" s="23">
        <f>Barnehagedrift!O26</f>
        <v>-1294229.3</v>
      </c>
      <c r="N42" s="102">
        <f>E7+F10</f>
        <v>2631</v>
      </c>
      <c r="O42" s="23">
        <f>O37+O38</f>
        <v>-852330</v>
      </c>
      <c r="P42" s="23">
        <f t="shared" si="2"/>
        <v>-2146559.2999999998</v>
      </c>
      <c r="Q42" s="23"/>
      <c r="U42" s="79"/>
    </row>
    <row r="43" spans="2:21" x14ac:dyDescent="0.35">
      <c r="B43" s="3" t="s">
        <v>32</v>
      </c>
      <c r="C43" s="11">
        <f>SUM(C35:C39)</f>
        <v>22095200</v>
      </c>
      <c r="D43" s="11">
        <f>SUM(D35:D41)</f>
        <v>29564400</v>
      </c>
      <c r="E43" s="11">
        <f>SUM(E35:E41)</f>
        <v>20220800</v>
      </c>
      <c r="F43" s="11">
        <f>SUM(F35:F41)</f>
        <v>10649800</v>
      </c>
      <c r="G43" s="11">
        <f>SUM(G35:G41)</f>
        <v>15021336</v>
      </c>
      <c r="J43" s="3" t="s">
        <v>31</v>
      </c>
      <c r="K43" s="22">
        <f>Barnehagedrift!N27</f>
        <v>0.7968699954049514</v>
      </c>
      <c r="L43" s="23"/>
      <c r="M43" s="23">
        <f>Barnehagedrift!O27</f>
        <v>-1294229.3</v>
      </c>
      <c r="N43" s="102">
        <f>D5+G8+G11</f>
        <v>4102.3500000000004</v>
      </c>
      <c r="O43" s="23">
        <f>O36+O39</f>
        <v>1611420</v>
      </c>
      <c r="P43" s="23">
        <f>L43+M43+O43</f>
        <v>317190.69999999995</v>
      </c>
      <c r="Q43" s="23"/>
      <c r="U43" s="79"/>
    </row>
    <row r="44" spans="2:21" x14ac:dyDescent="0.35">
      <c r="C44" s="16"/>
      <c r="D44" s="16"/>
      <c r="E44" s="16"/>
      <c r="F44" s="16"/>
      <c r="G44" s="16"/>
      <c r="J44" s="3" t="s">
        <v>33</v>
      </c>
      <c r="K44" s="22">
        <f>Barnehagedrift!N28</f>
        <v>0.82726111591235096</v>
      </c>
      <c r="L44" s="23"/>
      <c r="M44" s="23">
        <f>Barnehagedrift!O28</f>
        <v>-1294229.3</v>
      </c>
      <c r="N44" s="102">
        <f>E7+G8+G11</f>
        <v>2786.3500000000004</v>
      </c>
      <c r="O44" s="23">
        <f>O37+O39</f>
        <v>-495405</v>
      </c>
      <c r="P44" s="23">
        <f>L44+M44+O44</f>
        <v>-1789634.3</v>
      </c>
      <c r="Q44" s="23"/>
      <c r="U44" s="79"/>
    </row>
    <row r="45" spans="2:21" x14ac:dyDescent="0.35">
      <c r="G45" s="105"/>
      <c r="K45" s="59"/>
      <c r="L45" s="60"/>
      <c r="M45" s="60"/>
      <c r="N45" s="19"/>
      <c r="O45" s="60"/>
      <c r="P45" s="60"/>
      <c r="Q45" s="60"/>
    </row>
    <row r="46" spans="2:21" x14ac:dyDescent="0.35">
      <c r="K46" s="59"/>
      <c r="L46" s="60"/>
      <c r="M46" s="60"/>
      <c r="N46" s="19"/>
      <c r="O46" s="60"/>
      <c r="P46" s="60"/>
      <c r="Q46" s="60"/>
    </row>
    <row r="47" spans="2:21" x14ac:dyDescent="0.35">
      <c r="K47" s="59"/>
      <c r="L47" s="60"/>
      <c r="M47" s="60"/>
      <c r="N47" s="19"/>
      <c r="O47" s="60"/>
      <c r="P47" s="60"/>
      <c r="Q47" s="60"/>
    </row>
    <row r="48" spans="2:21" x14ac:dyDescent="0.35">
      <c r="B48" s="1" t="s">
        <v>69</v>
      </c>
      <c r="C48" s="2" t="s">
        <v>4</v>
      </c>
      <c r="D48" s="2" t="s">
        <v>5</v>
      </c>
      <c r="E48" s="2" t="s">
        <v>6</v>
      </c>
      <c r="F48" s="2" t="s">
        <v>7</v>
      </c>
      <c r="G48" s="2" t="s">
        <v>8</v>
      </c>
      <c r="K48" s="59"/>
      <c r="L48" s="60"/>
      <c r="M48" s="60"/>
      <c r="O48" s="60"/>
      <c r="P48" s="60"/>
      <c r="Q48" s="60"/>
    </row>
    <row r="49" spans="2:17" x14ac:dyDescent="0.35">
      <c r="B49" s="3"/>
      <c r="C49" s="3"/>
      <c r="D49" s="3"/>
      <c r="E49" s="3"/>
      <c r="F49" s="3"/>
      <c r="G49" s="3"/>
    </row>
    <row r="50" spans="2:17" x14ac:dyDescent="0.35">
      <c r="B50" s="3" t="str">
        <f>J3</f>
        <v>Espa barnehage</v>
      </c>
      <c r="C50" s="11">
        <f>K18*J34</f>
        <v>0</v>
      </c>
      <c r="D50" s="12"/>
      <c r="E50" s="103" t="s">
        <v>11</v>
      </c>
      <c r="F50" s="56"/>
      <c r="G50" s="17"/>
      <c r="J50" s="118" t="s">
        <v>70</v>
      </c>
      <c r="K50" s="118"/>
      <c r="L50" s="118"/>
      <c r="N50" s="121" t="s">
        <v>71</v>
      </c>
      <c r="O50" s="122"/>
      <c r="P50" s="122"/>
      <c r="Q50" s="123"/>
    </row>
    <row r="51" spans="2:17" x14ac:dyDescent="0.35">
      <c r="B51" s="3" t="str">
        <f t="shared" ref="B51:B54" si="3">J4</f>
        <v>Romedal barnehage</v>
      </c>
      <c r="C51" s="11">
        <f>K19*J34</f>
        <v>0</v>
      </c>
      <c r="D51" s="56"/>
      <c r="E51" s="56"/>
      <c r="F51" s="103" t="s">
        <v>13</v>
      </c>
      <c r="G51" s="103" t="s">
        <v>13</v>
      </c>
      <c r="J51" s="3" t="s">
        <v>5</v>
      </c>
      <c r="K51" s="117">
        <f>P36</f>
        <v>1167894.5</v>
      </c>
      <c r="L51" s="117"/>
      <c r="N51" s="3" t="s">
        <v>5</v>
      </c>
      <c r="O51" s="3"/>
      <c r="P51" s="111"/>
      <c r="Q51" s="112">
        <f>K51</f>
        <v>1167894.5</v>
      </c>
    </row>
    <row r="52" spans="2:17" x14ac:dyDescent="0.35">
      <c r="B52" s="3" t="str">
        <f t="shared" si="3"/>
        <v>Tangen barnehage</v>
      </c>
      <c r="C52" s="11">
        <f>K20*J34</f>
        <v>0</v>
      </c>
      <c r="D52" s="103" t="s">
        <v>16</v>
      </c>
      <c r="E52" s="12"/>
      <c r="F52" s="11"/>
      <c r="G52" s="11"/>
      <c r="J52" s="3" t="s">
        <v>6</v>
      </c>
      <c r="K52" s="117">
        <f>P37</f>
        <v>-938930.5</v>
      </c>
      <c r="L52" s="117"/>
      <c r="N52" s="3" t="s">
        <v>6</v>
      </c>
      <c r="O52" s="3"/>
      <c r="P52" s="111"/>
      <c r="Q52" s="112">
        <f t="shared" ref="Q52:Q58" si="4">K52</f>
        <v>-938930.5</v>
      </c>
    </row>
    <row r="53" spans="2:17" x14ac:dyDescent="0.35">
      <c r="B53" s="3" t="str">
        <f t="shared" si="3"/>
        <v>Vallset barnehage</v>
      </c>
      <c r="C53" s="11">
        <f>K21*J34</f>
        <v>0</v>
      </c>
      <c r="D53" s="11"/>
      <c r="E53" s="11"/>
      <c r="F53" s="103" t="s">
        <v>13</v>
      </c>
      <c r="G53" s="11"/>
      <c r="J53" s="3" t="s">
        <v>7</v>
      </c>
      <c r="K53" s="117">
        <f>P38</f>
        <v>-1207628.8</v>
      </c>
      <c r="L53" s="117"/>
      <c r="N53" s="3" t="s">
        <v>7</v>
      </c>
      <c r="O53" s="3"/>
      <c r="P53" s="111"/>
      <c r="Q53" s="112">
        <f t="shared" si="4"/>
        <v>-1207628.8</v>
      </c>
    </row>
    <row r="54" spans="2:17" x14ac:dyDescent="0.35">
      <c r="B54" s="3" t="str">
        <f t="shared" si="3"/>
        <v>Åsbygda barnehage</v>
      </c>
      <c r="C54" s="11">
        <f>K22*J34</f>
        <v>0</v>
      </c>
      <c r="D54" s="11"/>
      <c r="E54" s="11"/>
      <c r="F54" s="15" t="s">
        <v>13</v>
      </c>
      <c r="G54" s="78" t="s">
        <v>13</v>
      </c>
      <c r="J54" s="3" t="s">
        <v>8</v>
      </c>
      <c r="K54" s="117">
        <f>P39</f>
        <v>-850703.8</v>
      </c>
      <c r="L54" s="117"/>
      <c r="N54" s="3" t="s">
        <v>8</v>
      </c>
      <c r="O54" s="3"/>
      <c r="P54" s="111"/>
      <c r="Q54" s="112">
        <f t="shared" si="4"/>
        <v>-850703.8</v>
      </c>
    </row>
    <row r="55" spans="2:17" x14ac:dyDescent="0.35">
      <c r="B55" s="3" t="str">
        <f>J9</f>
        <v>Solvin 8-9 avd</v>
      </c>
      <c r="C55" s="20"/>
      <c r="D55" s="11"/>
      <c r="E55" s="11"/>
      <c r="F55" s="78">
        <f>(K9*17903)+(L9*2000)</f>
        <v>49643515</v>
      </c>
      <c r="G55" s="101"/>
      <c r="J55" s="3" t="s">
        <v>29</v>
      </c>
      <c r="K55" s="117">
        <f>P41</f>
        <v>-39734.300000000047</v>
      </c>
      <c r="L55" s="117"/>
      <c r="N55" s="3" t="s">
        <v>29</v>
      </c>
      <c r="O55" s="3"/>
      <c r="P55" s="111"/>
      <c r="Q55" s="112">
        <f t="shared" si="4"/>
        <v>-39734.300000000047</v>
      </c>
    </row>
    <row r="56" spans="2:17" x14ac:dyDescent="0.35">
      <c r="B56" s="3" t="str">
        <f>J11</f>
        <v>Solvin 4-5 avd</v>
      </c>
      <c r="C56" s="20"/>
      <c r="D56" s="11"/>
      <c r="E56" s="11"/>
      <c r="F56" s="99"/>
      <c r="G56" s="78">
        <f>(K11*17903)+(L11*2000)</f>
        <v>37797995.049999997</v>
      </c>
      <c r="J56" s="3" t="s">
        <v>30</v>
      </c>
      <c r="K56" s="117">
        <f>P42</f>
        <v>-2146559.2999999998</v>
      </c>
      <c r="L56" s="117"/>
      <c r="N56" s="3" t="s">
        <v>30</v>
      </c>
      <c r="O56" s="3"/>
      <c r="P56" s="21"/>
      <c r="Q56" s="112">
        <f t="shared" si="4"/>
        <v>-2146559.2999999998</v>
      </c>
    </row>
    <row r="57" spans="2:17" x14ac:dyDescent="0.35">
      <c r="B57" s="3"/>
      <c r="C57" s="4"/>
      <c r="D57" s="4"/>
      <c r="E57" s="4"/>
      <c r="F57" s="4"/>
      <c r="G57" s="4"/>
      <c r="J57" s="3" t="s">
        <v>31</v>
      </c>
      <c r="K57" s="117">
        <f>P43</f>
        <v>317190.69999999995</v>
      </c>
      <c r="L57" s="117"/>
      <c r="N57" s="3" t="s">
        <v>31</v>
      </c>
      <c r="O57" s="3"/>
      <c r="P57" s="111"/>
      <c r="Q57" s="112">
        <f t="shared" si="4"/>
        <v>317190.69999999995</v>
      </c>
    </row>
    <row r="58" spans="2:17" x14ac:dyDescent="0.35">
      <c r="B58" s="3" t="s">
        <v>32</v>
      </c>
      <c r="C58" s="11">
        <f>SUM(C50:C56)</f>
        <v>0</v>
      </c>
      <c r="D58" s="11">
        <f>SUM(D50:D56)</f>
        <v>0</v>
      </c>
      <c r="E58" s="11">
        <f>SUM(E50:E56)</f>
        <v>0</v>
      </c>
      <c r="F58" s="11">
        <f>SUM(F50:F56)</f>
        <v>49643515</v>
      </c>
      <c r="G58" s="11">
        <f>SUM(G50:G56)</f>
        <v>37797995.049999997</v>
      </c>
      <c r="J58" s="3" t="s">
        <v>33</v>
      </c>
      <c r="K58" s="117">
        <f>P44</f>
        <v>-1789634.3</v>
      </c>
      <c r="L58" s="117"/>
      <c r="N58" s="3" t="s">
        <v>33</v>
      </c>
      <c r="O58" s="3"/>
      <c r="P58" s="111"/>
      <c r="Q58" s="112">
        <f t="shared" si="4"/>
        <v>-1789634.3</v>
      </c>
    </row>
    <row r="59" spans="2:17" x14ac:dyDescent="0.35">
      <c r="C59" s="16"/>
      <c r="D59" s="16"/>
      <c r="E59" s="16"/>
      <c r="F59" s="16"/>
      <c r="G59" s="16"/>
      <c r="K59" s="116"/>
      <c r="L59" s="116"/>
      <c r="P59" s="116"/>
      <c r="Q59" s="116"/>
    </row>
    <row r="60" spans="2:17" x14ac:dyDescent="0.35">
      <c r="G60" s="105"/>
      <c r="K60" s="116"/>
      <c r="L60" s="116"/>
      <c r="P60" s="62"/>
      <c r="Q60" s="62"/>
    </row>
    <row r="61" spans="2:17" x14ac:dyDescent="0.35">
      <c r="J61" s="115" t="s">
        <v>72</v>
      </c>
      <c r="K61" s="115"/>
      <c r="L61" s="115"/>
      <c r="N61" s="128" t="s">
        <v>73</v>
      </c>
      <c r="O61" s="128"/>
      <c r="P61" s="128"/>
      <c r="Q61" s="128"/>
    </row>
    <row r="62" spans="2:17" x14ac:dyDescent="0.35">
      <c r="J62" s="3" t="s">
        <v>5</v>
      </c>
      <c r="K62" s="124">
        <f>D43-C43</f>
        <v>7469200</v>
      </c>
      <c r="L62" s="126"/>
      <c r="N62" s="3" t="s">
        <v>5</v>
      </c>
      <c r="O62" s="124">
        <f>D58-C58+C58</f>
        <v>0</v>
      </c>
      <c r="P62" s="125"/>
      <c r="Q62" s="126"/>
    </row>
    <row r="63" spans="2:17" x14ac:dyDescent="0.35">
      <c r="J63" s="3" t="s">
        <v>6</v>
      </c>
      <c r="K63" s="124">
        <f>E43-C43</f>
        <v>-1874400</v>
      </c>
      <c r="L63" s="126"/>
      <c r="N63" s="3" t="s">
        <v>6</v>
      </c>
      <c r="O63" s="124">
        <f>E58</f>
        <v>0</v>
      </c>
      <c r="P63" s="125"/>
      <c r="Q63" s="126"/>
    </row>
    <row r="64" spans="2:17" x14ac:dyDescent="0.35">
      <c r="J64" s="3" t="s">
        <v>7</v>
      </c>
      <c r="K64" s="124">
        <f>F43-C43</f>
        <v>-11445400</v>
      </c>
      <c r="L64" s="126"/>
      <c r="N64" s="3" t="s">
        <v>7</v>
      </c>
      <c r="O64" s="124">
        <f>F58</f>
        <v>49643515</v>
      </c>
      <c r="P64" s="125"/>
      <c r="Q64" s="126"/>
    </row>
    <row r="65" spans="2:17" x14ac:dyDescent="0.35">
      <c r="B65" t="s">
        <v>5</v>
      </c>
      <c r="C65" t="s">
        <v>36</v>
      </c>
      <c r="J65" s="3" t="s">
        <v>8</v>
      </c>
      <c r="K65" s="124">
        <f>G43-C43</f>
        <v>-7073864</v>
      </c>
      <c r="L65" s="126"/>
      <c r="N65" s="3" t="s">
        <v>8</v>
      </c>
      <c r="O65" s="124">
        <f>G58</f>
        <v>37797995.049999997</v>
      </c>
      <c r="P65" s="125"/>
      <c r="Q65" s="126"/>
    </row>
    <row r="66" spans="2:17" x14ac:dyDescent="0.35">
      <c r="B66" t="s">
        <v>6</v>
      </c>
      <c r="C66" t="s">
        <v>74</v>
      </c>
      <c r="J66" s="3" t="s">
        <v>29</v>
      </c>
      <c r="K66" s="124">
        <f>K62+K64</f>
        <v>-3976200</v>
      </c>
      <c r="L66" s="126"/>
      <c r="N66" s="3" t="s">
        <v>29</v>
      </c>
      <c r="O66" s="124">
        <f>O62+O64</f>
        <v>49643515</v>
      </c>
      <c r="P66" s="125"/>
      <c r="Q66" s="126"/>
    </row>
    <row r="67" spans="2:17" x14ac:dyDescent="0.35">
      <c r="B67" t="s">
        <v>7</v>
      </c>
      <c r="C67" t="s">
        <v>38</v>
      </c>
      <c r="J67" s="3" t="s">
        <v>30</v>
      </c>
      <c r="K67" s="124">
        <f>K63+K64</f>
        <v>-13319800</v>
      </c>
      <c r="L67" s="126"/>
      <c r="N67" s="3" t="s">
        <v>30</v>
      </c>
      <c r="O67" s="124">
        <f>O63+O64</f>
        <v>49643515</v>
      </c>
      <c r="P67" s="125"/>
      <c r="Q67" s="126"/>
    </row>
    <row r="68" spans="2:17" x14ac:dyDescent="0.35">
      <c r="B68" t="s">
        <v>8</v>
      </c>
      <c r="C68" t="s">
        <v>39</v>
      </c>
      <c r="J68" s="3" t="s">
        <v>31</v>
      </c>
      <c r="K68" s="124">
        <f>K62+K65</f>
        <v>395336</v>
      </c>
      <c r="L68" s="126"/>
      <c r="N68" s="3" t="s">
        <v>31</v>
      </c>
      <c r="O68" s="124">
        <f>O62+O65</f>
        <v>37797995.049999997</v>
      </c>
      <c r="P68" s="125"/>
      <c r="Q68" s="126"/>
    </row>
    <row r="69" spans="2:17" x14ac:dyDescent="0.35">
      <c r="J69" s="3" t="s">
        <v>33</v>
      </c>
      <c r="K69" s="124">
        <f>K63+K65</f>
        <v>-8948264</v>
      </c>
      <c r="L69" s="126"/>
      <c r="N69" s="3" t="s">
        <v>33</v>
      </c>
      <c r="O69" s="124">
        <f>O63+O65</f>
        <v>37797995.049999997</v>
      </c>
      <c r="P69" s="125"/>
      <c r="Q69" s="126"/>
    </row>
  </sheetData>
  <mergeCells count="41">
    <mergeCell ref="O68:Q68"/>
    <mergeCell ref="O69:Q69"/>
    <mergeCell ref="K63:L63"/>
    <mergeCell ref="K64:L64"/>
    <mergeCell ref="K65:L65"/>
    <mergeCell ref="K66:L66"/>
    <mergeCell ref="K67:L67"/>
    <mergeCell ref="K68:L68"/>
    <mergeCell ref="K69:L69"/>
    <mergeCell ref="O63:Q63"/>
    <mergeCell ref="O64:Q64"/>
    <mergeCell ref="O65:Q65"/>
    <mergeCell ref="O66:Q66"/>
    <mergeCell ref="J27:K27"/>
    <mergeCell ref="J33:Q33"/>
    <mergeCell ref="O67:Q67"/>
    <mergeCell ref="M3:O3"/>
    <mergeCell ref="O62:Q62"/>
    <mergeCell ref="N61:Q61"/>
    <mergeCell ref="J15:K15"/>
    <mergeCell ref="J16:K16"/>
    <mergeCell ref="J18:K18"/>
    <mergeCell ref="J19:K19"/>
    <mergeCell ref="J21:K21"/>
    <mergeCell ref="K56:L56"/>
    <mergeCell ref="J22:K22"/>
    <mergeCell ref="J26:K26"/>
    <mergeCell ref="N50:Q50"/>
    <mergeCell ref="K62:L62"/>
    <mergeCell ref="J50:L50"/>
    <mergeCell ref="K51:L51"/>
    <mergeCell ref="K52:L52"/>
    <mergeCell ref="K53:L53"/>
    <mergeCell ref="K54:L54"/>
    <mergeCell ref="J61:L61"/>
    <mergeCell ref="P59:Q59"/>
    <mergeCell ref="K60:L60"/>
    <mergeCell ref="K55:L55"/>
    <mergeCell ref="K57:L57"/>
    <mergeCell ref="K58:L58"/>
    <mergeCell ref="K59:L59"/>
  </mergeCells>
  <phoneticPr fontId="3" type="noConversion"/>
  <pageMargins left="0.7" right="0.7" top="0.75" bottom="0.75" header="0.3" footer="0.3"/>
  <pageSetup paperSize="9" scale="3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1EFE2-0AB4-4FFD-B193-491C81EEDA7A}">
  <sheetPr>
    <pageSetUpPr fitToPage="1"/>
  </sheetPr>
  <dimension ref="B2:J29"/>
  <sheetViews>
    <sheetView tabSelected="1" topLeftCell="A11" zoomScale="130" zoomScaleNormal="130" workbookViewId="0">
      <selection activeCell="J28" sqref="J28"/>
    </sheetView>
  </sheetViews>
  <sheetFormatPr baseColWidth="10" defaultColWidth="11.453125" defaultRowHeight="14.5" x14ac:dyDescent="0.35"/>
  <cols>
    <col min="1" max="1" width="5.1796875" customWidth="1"/>
    <col min="2" max="2" width="18.453125" customWidth="1"/>
    <col min="3" max="3" width="11.54296875" customWidth="1"/>
    <col min="4" max="4" width="10" customWidth="1"/>
    <col min="5" max="5" width="13.1796875" customWidth="1"/>
    <col min="6" max="6" width="13.453125" customWidth="1"/>
    <col min="7" max="7" width="15.54296875" customWidth="1"/>
    <col min="8" max="8" width="12.453125" customWidth="1"/>
    <col min="9" max="9" width="12.7265625" customWidth="1"/>
    <col min="10" max="10" width="15.54296875" customWidth="1"/>
    <col min="11" max="11" width="17" customWidth="1"/>
  </cols>
  <sheetData>
    <row r="2" spans="2:10" ht="105" customHeight="1" x14ac:dyDescent="0.35">
      <c r="B2" s="136" t="s">
        <v>75</v>
      </c>
      <c r="C2" s="137"/>
      <c r="D2" s="137"/>
      <c r="E2" s="137"/>
      <c r="F2" s="137"/>
      <c r="G2" s="137"/>
      <c r="H2" s="137"/>
      <c r="I2" s="137"/>
      <c r="J2" s="138"/>
    </row>
    <row r="3" spans="2:10" ht="20.25" customHeight="1" x14ac:dyDescent="0.35"/>
    <row r="4" spans="2:10" ht="94.5" customHeight="1" x14ac:dyDescent="0.35">
      <c r="B4" s="136" t="s">
        <v>76</v>
      </c>
      <c r="C4" s="137"/>
      <c r="D4" s="137"/>
      <c r="E4" s="137"/>
      <c r="F4" s="137"/>
      <c r="G4" s="137"/>
      <c r="H4" s="137"/>
      <c r="I4" s="137"/>
      <c r="J4" s="138"/>
    </row>
    <row r="5" spans="2:10" ht="24.75" customHeight="1" x14ac:dyDescent="0.35"/>
    <row r="6" spans="2:10" ht="62.25" customHeight="1" x14ac:dyDescent="0.35">
      <c r="B6" s="136" t="s">
        <v>77</v>
      </c>
      <c r="C6" s="137"/>
      <c r="D6" s="137"/>
      <c r="E6" s="137"/>
      <c r="F6" s="137"/>
      <c r="G6" s="137"/>
      <c r="H6" s="137"/>
      <c r="I6" s="137"/>
      <c r="J6" s="138"/>
    </row>
    <row r="7" spans="2:10" ht="20.25" customHeight="1" thickBot="1" x14ac:dyDescent="0.4"/>
    <row r="8" spans="2:10" ht="30" customHeight="1" x14ac:dyDescent="0.35">
      <c r="B8" s="146" t="s">
        <v>0</v>
      </c>
      <c r="C8" s="144" t="s">
        <v>78</v>
      </c>
      <c r="D8" s="144" t="s">
        <v>79</v>
      </c>
      <c r="E8" s="141" t="s">
        <v>80</v>
      </c>
      <c r="F8" s="142"/>
      <c r="G8" s="143"/>
      <c r="H8" s="148"/>
      <c r="I8" s="148"/>
      <c r="J8" s="148"/>
    </row>
    <row r="9" spans="2:10" ht="46.5" customHeight="1" thickBot="1" x14ac:dyDescent="0.4">
      <c r="B9" s="147"/>
      <c r="C9" s="145"/>
      <c r="D9" s="145"/>
      <c r="E9" s="46" t="s">
        <v>81</v>
      </c>
      <c r="F9" s="26" t="s">
        <v>82</v>
      </c>
      <c r="G9" s="32" t="s">
        <v>83</v>
      </c>
    </row>
    <row r="10" spans="2:10" x14ac:dyDescent="0.35">
      <c r="B10" s="27" t="s">
        <v>9</v>
      </c>
      <c r="C10" s="81">
        <v>264</v>
      </c>
      <c r="D10" s="93">
        <v>1290</v>
      </c>
      <c r="E10" s="40">
        <v>750</v>
      </c>
      <c r="F10" s="28">
        <v>0</v>
      </c>
      <c r="G10" s="43">
        <f>(C10*E10)+(D10*F10)</f>
        <v>198000</v>
      </c>
      <c r="H10" s="49"/>
      <c r="I10" s="97">
        <f>(C10*1500)+(D10*35)</f>
        <v>441150</v>
      </c>
      <c r="J10" s="98">
        <f>G10/I10</f>
        <v>0.44882692961577697</v>
      </c>
    </row>
    <row r="11" spans="2:10" x14ac:dyDescent="0.35">
      <c r="B11" s="29" t="s">
        <v>10</v>
      </c>
      <c r="C11" s="82">
        <v>573</v>
      </c>
      <c r="D11" s="94">
        <v>2965</v>
      </c>
      <c r="E11" s="41">
        <v>750</v>
      </c>
      <c r="F11" s="25">
        <v>0</v>
      </c>
      <c r="G11" s="44">
        <f>(C11*E11)+(D11*F11)</f>
        <v>429750</v>
      </c>
      <c r="H11" s="49"/>
      <c r="I11" s="97">
        <f t="shared" ref="I11:I14" si="0">(C11*1500)+(D11*35)</f>
        <v>963275</v>
      </c>
      <c r="J11" s="98">
        <f t="shared" ref="J11:J14" si="1">G11/I11</f>
        <v>0.44613428148763334</v>
      </c>
    </row>
    <row r="12" spans="2:10" x14ac:dyDescent="0.35">
      <c r="B12" s="29" t="s">
        <v>12</v>
      </c>
      <c r="C12" s="82">
        <v>626</v>
      </c>
      <c r="D12" s="94">
        <v>2555</v>
      </c>
      <c r="E12" s="41">
        <v>750</v>
      </c>
      <c r="F12" s="25">
        <v>0</v>
      </c>
      <c r="G12" s="44">
        <f>(C12*E12)+(D12*F12)</f>
        <v>469500</v>
      </c>
      <c r="H12" s="49"/>
      <c r="I12" s="97">
        <f t="shared" si="0"/>
        <v>1028425</v>
      </c>
      <c r="J12" s="98">
        <f t="shared" si="1"/>
        <v>0.45652332450105743</v>
      </c>
    </row>
    <row r="13" spans="2:10" x14ac:dyDescent="0.35">
      <c r="B13" s="63" t="s">
        <v>15</v>
      </c>
      <c r="C13" s="83">
        <v>817</v>
      </c>
      <c r="D13" s="95">
        <v>3540</v>
      </c>
      <c r="E13" s="64">
        <v>750</v>
      </c>
      <c r="F13" s="65">
        <v>0</v>
      </c>
      <c r="G13" s="66">
        <f>(C13*E13)+(D13*F13)</f>
        <v>612750</v>
      </c>
      <c r="H13" s="49"/>
      <c r="I13" s="97">
        <f t="shared" si="0"/>
        <v>1349400</v>
      </c>
      <c r="J13" s="98">
        <f t="shared" si="1"/>
        <v>0.45409070698088039</v>
      </c>
    </row>
    <row r="14" spans="2:10" ht="15" thickBot="1" x14ac:dyDescent="0.4">
      <c r="B14" s="30" t="s">
        <v>17</v>
      </c>
      <c r="C14" s="84">
        <v>832</v>
      </c>
      <c r="D14" s="96">
        <v>2817</v>
      </c>
      <c r="E14" s="42">
        <v>750</v>
      </c>
      <c r="F14" s="31">
        <v>0</v>
      </c>
      <c r="G14" s="45">
        <f>(C14*E14)+(D14*F14)</f>
        <v>624000</v>
      </c>
      <c r="H14" s="49"/>
      <c r="I14" s="97">
        <f t="shared" si="0"/>
        <v>1346595</v>
      </c>
      <c r="J14" s="98">
        <f t="shared" si="1"/>
        <v>0.46339099729317279</v>
      </c>
    </row>
    <row r="15" spans="2:10" ht="15" thickBot="1" x14ac:dyDescent="0.4"/>
    <row r="16" spans="2:10" ht="15" customHeight="1" x14ac:dyDescent="0.35">
      <c r="B16" s="139" t="s">
        <v>0</v>
      </c>
      <c r="C16" s="139" t="s">
        <v>78</v>
      </c>
      <c r="D16" s="139" t="s">
        <v>79</v>
      </c>
      <c r="E16" s="141" t="s">
        <v>84</v>
      </c>
      <c r="F16" s="142"/>
      <c r="G16" s="143"/>
    </row>
    <row r="17" spans="2:10" ht="44" thickBot="1" x14ac:dyDescent="0.4">
      <c r="B17" s="140"/>
      <c r="C17" s="140"/>
      <c r="D17" s="140"/>
      <c r="E17" s="46" t="s">
        <v>81</v>
      </c>
      <c r="F17" s="26" t="s">
        <v>82</v>
      </c>
      <c r="G17" s="32" t="s">
        <v>83</v>
      </c>
    </row>
    <row r="18" spans="2:10" x14ac:dyDescent="0.35">
      <c r="B18" s="27" t="s">
        <v>9</v>
      </c>
      <c r="C18" s="85">
        <v>264</v>
      </c>
      <c r="D18" s="89">
        <v>1290</v>
      </c>
      <c r="E18" s="40">
        <f>$E$28</f>
        <v>345.17543859649123</v>
      </c>
      <c r="F18" s="28">
        <f>35*0.25</f>
        <v>8.75</v>
      </c>
      <c r="G18" s="43">
        <f>(C18*E18)+(D18*F18)</f>
        <v>102413.81578947368</v>
      </c>
      <c r="I18" s="97">
        <f>(C18*1500)+(D18*35)</f>
        <v>441150</v>
      </c>
      <c r="J18" s="98">
        <f>G18/I18</f>
        <v>0.23215191157083459</v>
      </c>
    </row>
    <row r="19" spans="2:10" x14ac:dyDescent="0.35">
      <c r="B19" s="29" t="s">
        <v>10</v>
      </c>
      <c r="C19" s="86">
        <v>573</v>
      </c>
      <c r="D19" s="90">
        <v>2965</v>
      </c>
      <c r="E19" s="41">
        <f>$E$28</f>
        <v>345.17543859649123</v>
      </c>
      <c r="F19" s="25">
        <f>35*0.25</f>
        <v>8.75</v>
      </c>
      <c r="G19" s="44">
        <f>(C19*E19)+(D19*F19)</f>
        <v>223729.27631578947</v>
      </c>
      <c r="I19" s="97">
        <f t="shared" ref="I19:I22" si="2">(C19*1500)+(D19*35)</f>
        <v>963275</v>
      </c>
      <c r="J19" s="98">
        <f t="shared" ref="J19:J22" si="3">G19/I19</f>
        <v>0.23225898763674907</v>
      </c>
    </row>
    <row r="20" spans="2:10" x14ac:dyDescent="0.35">
      <c r="B20" s="29" t="s">
        <v>12</v>
      </c>
      <c r="C20" s="86">
        <v>626</v>
      </c>
      <c r="D20" s="90">
        <v>2555</v>
      </c>
      <c r="E20" s="41">
        <f>$E$28</f>
        <v>345.17543859649123</v>
      </c>
      <c r="F20" s="25">
        <f>35*0.25</f>
        <v>8.75</v>
      </c>
      <c r="G20" s="44">
        <f>(C20*E20)+(D20*F20)</f>
        <v>238436.07456140351</v>
      </c>
      <c r="I20" s="97">
        <f t="shared" si="2"/>
        <v>1028425</v>
      </c>
      <c r="J20" s="98">
        <f t="shared" si="3"/>
        <v>0.23184585610171235</v>
      </c>
    </row>
    <row r="21" spans="2:10" x14ac:dyDescent="0.35">
      <c r="B21" s="63" t="s">
        <v>15</v>
      </c>
      <c r="C21" s="87">
        <v>817</v>
      </c>
      <c r="D21" s="91">
        <v>3540</v>
      </c>
      <c r="E21" s="41">
        <f>$E$28</f>
        <v>345.17543859649123</v>
      </c>
      <c r="F21" s="25">
        <f>35*0.25</f>
        <v>8.75</v>
      </c>
      <c r="G21" s="44">
        <f>(C21*E21)+(D21*F21)</f>
        <v>312983.33333333331</v>
      </c>
      <c r="I21" s="97">
        <f t="shared" si="2"/>
        <v>1349400</v>
      </c>
      <c r="J21" s="98">
        <f t="shared" si="3"/>
        <v>0.23194259176918136</v>
      </c>
    </row>
    <row r="22" spans="2:10" ht="15" thickBot="1" x14ac:dyDescent="0.4">
      <c r="B22" s="30" t="s">
        <v>17</v>
      </c>
      <c r="C22" s="88">
        <v>832</v>
      </c>
      <c r="D22" s="92">
        <v>2817</v>
      </c>
      <c r="E22" s="42">
        <f>$E$28</f>
        <v>345.17543859649123</v>
      </c>
      <c r="F22" s="31">
        <f>35*0.25</f>
        <v>8.75</v>
      </c>
      <c r="G22" s="45">
        <f>(C22*E22)+(D22*F22)</f>
        <v>311834.71491228073</v>
      </c>
      <c r="I22" s="97">
        <f t="shared" si="2"/>
        <v>1346595</v>
      </c>
      <c r="J22" s="98">
        <f t="shared" si="3"/>
        <v>0.23157275566319549</v>
      </c>
    </row>
    <row r="23" spans="2:10" x14ac:dyDescent="0.35">
      <c r="B23" s="24"/>
    </row>
    <row r="24" spans="2:10" x14ac:dyDescent="0.35">
      <c r="B24" s="33" t="s">
        <v>85</v>
      </c>
    </row>
    <row r="25" spans="2:10" x14ac:dyDescent="0.35">
      <c r="B25" t="s">
        <v>86</v>
      </c>
    </row>
    <row r="27" spans="2:10" ht="29" x14ac:dyDescent="0.35">
      <c r="B27" s="36" t="s">
        <v>87</v>
      </c>
      <c r="C27" s="37" t="s">
        <v>88</v>
      </c>
      <c r="D27" s="38" t="s">
        <v>89</v>
      </c>
      <c r="E27" s="39" t="s">
        <v>90</v>
      </c>
    </row>
    <row r="28" spans="2:10" x14ac:dyDescent="0.35">
      <c r="B28" s="34">
        <v>2022</v>
      </c>
      <c r="C28" s="35">
        <v>193000</v>
      </c>
      <c r="D28" s="35">
        <f>C28/570</f>
        <v>338.59649122807019</v>
      </c>
      <c r="E28" s="135">
        <f>SUM(D28:D29)/2</f>
        <v>345.17543859649123</v>
      </c>
    </row>
    <row r="29" spans="2:10" x14ac:dyDescent="0.35">
      <c r="B29" s="34">
        <v>2023</v>
      </c>
      <c r="C29" s="35">
        <v>200500</v>
      </c>
      <c r="D29" s="35">
        <f>C29/570</f>
        <v>351.75438596491227</v>
      </c>
      <c r="E29" s="135"/>
    </row>
  </sheetData>
  <mergeCells count="13">
    <mergeCell ref="E28:E29"/>
    <mergeCell ref="B2:J2"/>
    <mergeCell ref="B4:J4"/>
    <mergeCell ref="B6:J6"/>
    <mergeCell ref="B16:B17"/>
    <mergeCell ref="C16:C17"/>
    <mergeCell ref="D16:D17"/>
    <mergeCell ref="E16:G16"/>
    <mergeCell ref="D8:D9"/>
    <mergeCell ref="C8:C9"/>
    <mergeCell ref="B8:B9"/>
    <mergeCell ref="E8:G8"/>
    <mergeCell ref="H8:J8"/>
  </mergeCells>
  <pageMargins left="0.7" right="0.7" top="0.75" bottom="0.75" header="0.3" footer="0.3"/>
  <pageSetup paperSize="9" scale="4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26a612-946d-4f92-ab78-bf2ae9f0b3d8" xsi:nil="true"/>
    <lcf76f155ced4ddcb4097134ff3c332f xmlns="e346381d-3b8e-4d5d-a5dc-01563a8d7b8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31830385B57142A440AA715FFBD014" ma:contentTypeVersion="12" ma:contentTypeDescription="Opprett et nytt dokument." ma:contentTypeScope="" ma:versionID="fd3225e9a4dcc17fed5eac918d99e8f8">
  <xsd:schema xmlns:xsd="http://www.w3.org/2001/XMLSchema" xmlns:xs="http://www.w3.org/2001/XMLSchema" xmlns:p="http://schemas.microsoft.com/office/2006/metadata/properties" xmlns:ns2="e346381d-3b8e-4d5d-a5dc-01563a8d7b83" xmlns:ns3="1326a612-946d-4f92-ab78-bf2ae9f0b3d8" targetNamespace="http://schemas.microsoft.com/office/2006/metadata/properties" ma:root="true" ma:fieldsID="794ec5af540133227e83b69294e7c3dc" ns2:_="" ns3:_="">
    <xsd:import namespace="e346381d-3b8e-4d5d-a5dc-01563a8d7b83"/>
    <xsd:import namespace="1326a612-946d-4f92-ab78-bf2ae9f0b3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6381d-3b8e-4d5d-a5dc-01563a8d7b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2d3d3829-c886-45d9-be25-144c0f4b3e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26a612-946d-4f92-ab78-bf2ae9f0b3d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97b1c53-2784-425c-95a0-93dda4bd6c83}" ma:internalName="TaxCatchAll" ma:showField="CatchAllData" ma:web="1326a612-946d-4f92-ab78-bf2ae9f0b3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688310-0EB5-4E65-8B90-FC6EEAE660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F2301A-C3A9-4AD6-8E74-1E513B1A70C2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e346381d-3b8e-4d5d-a5dc-01563a8d7b83"/>
    <ds:schemaRef ds:uri="http://schemas.microsoft.com/office/2006/metadata/properties"/>
    <ds:schemaRef ds:uri="http://purl.org/dc/terms/"/>
    <ds:schemaRef ds:uri="http://purl.org/dc/dcmitype/"/>
    <ds:schemaRef ds:uri="1326a612-946d-4f92-ab78-bf2ae9f0b3d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94A7D8E-F46C-4F2C-89EF-BCDA0EA273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46381d-3b8e-4d5d-a5dc-01563a8d7b83"/>
    <ds:schemaRef ds:uri="1326a612-946d-4f92-ab78-bf2ae9f0b3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Barnehagedrift</vt:lpstr>
      <vt:lpstr>Barnehage-bygg og oppsummering</vt:lpstr>
      <vt:lpstr>Etterbruk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Trond Arne Børresen</dc:creator>
  <cp:keywords/>
  <dc:description/>
  <cp:lastModifiedBy>Trond Arne Børresen</cp:lastModifiedBy>
  <cp:revision/>
  <cp:lastPrinted>2024-09-23T20:12:47Z</cp:lastPrinted>
  <dcterms:created xsi:type="dcterms:W3CDTF">2021-05-19T11:31:05Z</dcterms:created>
  <dcterms:modified xsi:type="dcterms:W3CDTF">2024-09-24T11:19:13Z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0x010100A431830385B57142A440AA715FFBD014</vt:lpwstr>
  </property>
  <property fmtid="{D5CDD505-2E9C-101B-9397-08002B2CF9AE}" pid="3" name="MediaServiceImageTags">
    <vt:lpwstr/>
  </property>
</Properties>
</file>