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eduhikt-my.sharepoint.com/personal/trond_arne_borresen_edu_stange_kommune_no/Documents/Administrasjon/Rådgiver/Skole- og barnehagestruktur 2024/PDF til publisering/Andre filer til publisering/"/>
    </mc:Choice>
  </mc:AlternateContent>
  <xr:revisionPtr revIDLastSave="0" documentId="8_{74532441-F27E-42B0-9A32-227E3411E0EB}" xr6:coauthVersionLast="47" xr6:coauthVersionMax="47" xr10:uidLastSave="{00000000-0000-0000-0000-000000000000}"/>
  <bookViews>
    <workbookView xWindow="28695" yWindow="0" windowWidth="51405" windowHeight="20985" activeTab="2" xr2:uid="{00000000-000D-0000-FFFF-FFFF00000000}"/>
  </bookViews>
  <sheets>
    <sheet name="Skoledrift" sheetId="3" r:id="rId1"/>
    <sheet name="Skolebygg og oppsummering" sheetId="4" r:id="rId2"/>
    <sheet name="Etterbruk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4" l="1"/>
  <c r="C35" i="4"/>
  <c r="E68" i="3"/>
  <c r="F68" i="3"/>
  <c r="G68" i="3"/>
  <c r="H68" i="3"/>
  <c r="I68" i="3"/>
  <c r="D68" i="3"/>
  <c r="I67" i="3"/>
  <c r="H67" i="3"/>
  <c r="G67" i="3"/>
  <c r="F67" i="3"/>
  <c r="E67" i="3"/>
  <c r="D67" i="3"/>
  <c r="D96" i="3"/>
  <c r="D95" i="3"/>
  <c r="D92" i="3"/>
  <c r="D91" i="3"/>
  <c r="J87" i="3"/>
  <c r="I87" i="3"/>
  <c r="D93" i="3" s="1"/>
  <c r="H87" i="3"/>
  <c r="D94" i="3" s="1"/>
  <c r="G87" i="3"/>
  <c r="F87" i="3"/>
  <c r="L87" i="3" s="1"/>
  <c r="E87" i="3"/>
  <c r="L85" i="3"/>
  <c r="C19" i="4" l="1"/>
  <c r="C33" i="4"/>
  <c r="C24" i="4"/>
  <c r="C26" i="4"/>
  <c r="C20" i="4"/>
  <c r="D19" i="4"/>
  <c r="G8" i="3"/>
  <c r="G22" i="4"/>
  <c r="G8" i="4"/>
  <c r="C22" i="4"/>
  <c r="H35" i="4"/>
  <c r="G51" i="4"/>
  <c r="G36" i="4"/>
  <c r="I20" i="5" l="1"/>
  <c r="J20" i="5" s="1"/>
  <c r="I19" i="5"/>
  <c r="I18" i="5"/>
  <c r="I17" i="5"/>
  <c r="J17" i="5" s="1"/>
  <c r="Q69" i="4"/>
  <c r="I11" i="5"/>
  <c r="I12" i="5"/>
  <c r="J12" i="5" s="1"/>
  <c r="I13" i="5"/>
  <c r="J13" i="5" s="1"/>
  <c r="I10" i="5"/>
  <c r="J18" i="5"/>
  <c r="J19" i="5"/>
  <c r="J10" i="5"/>
  <c r="J11" i="5"/>
  <c r="Q74" i="4"/>
  <c r="Q72" i="4"/>
  <c r="Q71" i="4"/>
  <c r="Q70" i="4"/>
  <c r="Q68" i="4"/>
  <c r="Q66" i="4"/>
  <c r="Q65" i="4"/>
  <c r="Q64" i="4"/>
  <c r="H53" i="4"/>
  <c r="I52" i="4"/>
  <c r="H52" i="4"/>
  <c r="I51" i="4"/>
  <c r="I49" i="3"/>
  <c r="I54" i="3" s="1"/>
  <c r="M52" i="3" s="1"/>
  <c r="H49" i="3"/>
  <c r="G50" i="3"/>
  <c r="F51" i="3"/>
  <c r="E49" i="3"/>
  <c r="D50" i="3"/>
  <c r="M38" i="3"/>
  <c r="M37" i="3"/>
  <c r="M36" i="3"/>
  <c r="M35" i="3"/>
  <c r="M34" i="3"/>
  <c r="M33" i="3"/>
  <c r="I51" i="3"/>
  <c r="I50" i="3"/>
  <c r="I48" i="3"/>
  <c r="Q73" i="4" l="1"/>
  <c r="E49" i="4"/>
  <c r="D51" i="4"/>
  <c r="D53" i="4"/>
  <c r="F49" i="4"/>
  <c r="E51" i="4"/>
  <c r="G53" i="4"/>
  <c r="H49" i="4"/>
  <c r="F51" i="4"/>
  <c r="I49" i="4"/>
  <c r="H51" i="4"/>
  <c r="D52" i="4"/>
  <c r="F52" i="4"/>
  <c r="G62" i="3"/>
  <c r="I66" i="3"/>
  <c r="I61" i="3"/>
  <c r="H61" i="3"/>
  <c r="S26" i="3"/>
  <c r="O39" i="4" s="1"/>
  <c r="Q20" i="3"/>
  <c r="M33" i="4"/>
  <c r="C21" i="4"/>
  <c r="I35" i="3"/>
  <c r="I40" i="3" s="1"/>
  <c r="H35" i="3"/>
  <c r="G36" i="3"/>
  <c r="F37" i="3"/>
  <c r="E35" i="3"/>
  <c r="D36" i="3"/>
  <c r="I26" i="3"/>
  <c r="H26" i="3"/>
  <c r="I21" i="3"/>
  <c r="H21" i="3"/>
  <c r="G22" i="3"/>
  <c r="F23" i="3"/>
  <c r="E21" i="3"/>
  <c r="D22" i="3"/>
  <c r="M26" i="4"/>
  <c r="C23" i="4"/>
  <c r="H21" i="4"/>
  <c r="E35" i="4" l="1"/>
  <c r="I35" i="4"/>
  <c r="I21" i="4"/>
  <c r="E21" i="4"/>
  <c r="D22" i="4"/>
  <c r="C17" i="5"/>
  <c r="F17" i="5"/>
  <c r="F18" i="5"/>
  <c r="F19" i="5"/>
  <c r="F20" i="5"/>
  <c r="D27" i="5"/>
  <c r="D26" i="5"/>
  <c r="E26" i="5" s="1"/>
  <c r="E17" i="5" s="1"/>
  <c r="G12" i="5"/>
  <c r="G13" i="5"/>
  <c r="G11" i="5"/>
  <c r="C10" i="5"/>
  <c r="C7" i="3"/>
  <c r="I7" i="4"/>
  <c r="I7" i="3"/>
  <c r="H7" i="3"/>
  <c r="F9" i="3"/>
  <c r="E7" i="3"/>
  <c r="D8" i="3"/>
  <c r="C5" i="3"/>
  <c r="F33" i="4" l="1"/>
  <c r="G17" i="5"/>
  <c r="G10" i="5"/>
  <c r="E20" i="5"/>
  <c r="G20" i="5" s="1"/>
  <c r="E19" i="5"/>
  <c r="G19" i="5" s="1"/>
  <c r="E18" i="5"/>
  <c r="G18" i="5" s="1"/>
  <c r="D35" i="4"/>
  <c r="F19" i="4"/>
  <c r="D8" i="4"/>
  <c r="L18" i="4"/>
  <c r="H52" i="3"/>
  <c r="G52" i="3"/>
  <c r="G49" i="3"/>
  <c r="F49" i="3"/>
  <c r="F47" i="3"/>
  <c r="F5" i="3"/>
  <c r="G35" i="4"/>
  <c r="F35" i="4"/>
  <c r="C34" i="4" l="1"/>
  <c r="C36" i="4"/>
  <c r="I34" i="4"/>
  <c r="D36" i="4" l="1"/>
  <c r="I36" i="4"/>
  <c r="I20" i="4"/>
  <c r="C38" i="4" l="1"/>
  <c r="C37" i="4"/>
  <c r="I37" i="4" l="1"/>
  <c r="I40" i="4" s="1"/>
  <c r="H38" i="4"/>
  <c r="G38" i="4"/>
  <c r="Q33" i="4" l="1"/>
  <c r="G21" i="4" l="1"/>
  <c r="F21" i="4"/>
  <c r="F36" i="4"/>
  <c r="S25" i="3"/>
  <c r="O38" i="4" s="1"/>
  <c r="S21" i="3"/>
  <c r="H36" i="4"/>
  <c r="D38" i="4"/>
  <c r="H37" i="4"/>
  <c r="F37" i="4"/>
  <c r="H34" i="4"/>
  <c r="F34" i="4"/>
  <c r="E34" i="4"/>
  <c r="G33" i="4"/>
  <c r="G40" i="4" s="1"/>
  <c r="D33" i="4"/>
  <c r="D21" i="4"/>
  <c r="H20" i="4"/>
  <c r="F20" i="4"/>
  <c r="E20" i="4"/>
  <c r="G19" i="4"/>
  <c r="H7" i="4"/>
  <c r="E7" i="4"/>
  <c r="C10" i="4"/>
  <c r="D10" i="4" s="1"/>
  <c r="C9" i="4"/>
  <c r="C8" i="4"/>
  <c r="C6" i="4"/>
  <c r="H6" i="4" s="1"/>
  <c r="C5" i="4"/>
  <c r="D5" i="4" s="1"/>
  <c r="C7" i="4"/>
  <c r="D52" i="3"/>
  <c r="H51" i="3"/>
  <c r="D51" i="3"/>
  <c r="H50" i="3"/>
  <c r="F50" i="3"/>
  <c r="E50" i="3"/>
  <c r="D49" i="3"/>
  <c r="H48" i="3"/>
  <c r="F48" i="3"/>
  <c r="E48" i="3"/>
  <c r="G47" i="3"/>
  <c r="D47" i="3"/>
  <c r="D38" i="3"/>
  <c r="H37" i="3"/>
  <c r="D37" i="3"/>
  <c r="H36" i="3"/>
  <c r="F36" i="3"/>
  <c r="E36" i="3"/>
  <c r="D35" i="3"/>
  <c r="H34" i="3"/>
  <c r="F34" i="3"/>
  <c r="E34" i="3"/>
  <c r="G33" i="3"/>
  <c r="D33" i="3"/>
  <c r="D24" i="3"/>
  <c r="H23" i="3"/>
  <c r="D23" i="3"/>
  <c r="H22" i="3"/>
  <c r="F22" i="3"/>
  <c r="E22" i="3"/>
  <c r="D21" i="3"/>
  <c r="H20" i="3"/>
  <c r="F20" i="3"/>
  <c r="E20" i="3"/>
  <c r="G19" i="3"/>
  <c r="D19" i="3"/>
  <c r="D5" i="3"/>
  <c r="C10" i="3"/>
  <c r="C9" i="3"/>
  <c r="C8" i="3"/>
  <c r="D7" i="3"/>
  <c r="C6" i="3"/>
  <c r="F6" i="3" s="1"/>
  <c r="S30" i="3" l="1"/>
  <c r="O43" i="4" s="1"/>
  <c r="S29" i="3"/>
  <c r="O42" i="4" s="1"/>
  <c r="E40" i="3"/>
  <c r="H8" i="4"/>
  <c r="I8" i="4"/>
  <c r="F6" i="4"/>
  <c r="I6" i="4"/>
  <c r="D9" i="4"/>
  <c r="D12" i="4" s="1"/>
  <c r="I9" i="4"/>
  <c r="E22" i="4"/>
  <c r="I22" i="4"/>
  <c r="F23" i="4"/>
  <c r="I23" i="4"/>
  <c r="G5" i="4"/>
  <c r="E6" i="4"/>
  <c r="E12" i="4" s="1"/>
  <c r="H6" i="3"/>
  <c r="C12" i="3"/>
  <c r="I6" i="3"/>
  <c r="H8" i="3"/>
  <c r="I8" i="3"/>
  <c r="D9" i="3"/>
  <c r="D12" i="3" s="1"/>
  <c r="I9" i="3"/>
  <c r="G7" i="3"/>
  <c r="F7" i="3"/>
  <c r="H40" i="3"/>
  <c r="F26" i="3"/>
  <c r="E26" i="3"/>
  <c r="D10" i="3"/>
  <c r="G10" i="3"/>
  <c r="H10" i="3"/>
  <c r="D24" i="4"/>
  <c r="H24" i="4"/>
  <c r="G24" i="4"/>
  <c r="H23" i="4"/>
  <c r="G5" i="3"/>
  <c r="O34" i="4"/>
  <c r="G26" i="3"/>
  <c r="D40" i="3"/>
  <c r="H9" i="4"/>
  <c r="F40" i="3"/>
  <c r="D23" i="4"/>
  <c r="F9" i="4"/>
  <c r="D26" i="3"/>
  <c r="G40" i="3"/>
  <c r="G26" i="4"/>
  <c r="H22" i="4"/>
  <c r="F22" i="4"/>
  <c r="F26" i="4" s="1"/>
  <c r="C40" i="4"/>
  <c r="D37" i="4"/>
  <c r="D40" i="4" s="1"/>
  <c r="E54" i="3"/>
  <c r="M48" i="3" s="1"/>
  <c r="D54" i="3"/>
  <c r="M47" i="3" s="1"/>
  <c r="F54" i="3"/>
  <c r="M49" i="3" s="1"/>
  <c r="H54" i="3"/>
  <c r="M51" i="3" s="1"/>
  <c r="G54" i="3"/>
  <c r="M50" i="3" s="1"/>
  <c r="H40" i="4"/>
  <c r="E36" i="4"/>
  <c r="E40" i="4" s="1"/>
  <c r="E6" i="3"/>
  <c r="E8" i="3"/>
  <c r="H9" i="3"/>
  <c r="F8" i="3"/>
  <c r="F40" i="4"/>
  <c r="C12" i="4"/>
  <c r="S24" i="3"/>
  <c r="S23" i="3"/>
  <c r="O36" i="4" s="1"/>
  <c r="S22" i="3"/>
  <c r="O35" i="4" s="1"/>
  <c r="C68" i="3"/>
  <c r="F12" i="4" l="1"/>
  <c r="H12" i="4"/>
  <c r="H26" i="4"/>
  <c r="Q38" i="4" s="1"/>
  <c r="M64" i="4"/>
  <c r="M69" i="4"/>
  <c r="M66" i="4"/>
  <c r="M68" i="4"/>
  <c r="I26" i="4"/>
  <c r="M65" i="4"/>
  <c r="S28" i="3"/>
  <c r="O41" i="4" s="1"/>
  <c r="S31" i="3"/>
  <c r="O44" i="4" s="1"/>
  <c r="O37" i="4"/>
  <c r="S32" i="3"/>
  <c r="O45" i="4" s="1"/>
  <c r="S27" i="3"/>
  <c r="O40" i="4" s="1"/>
  <c r="F12" i="3"/>
  <c r="Q28" i="3"/>
  <c r="M41" i="4" s="1"/>
  <c r="G12" i="4"/>
  <c r="I12" i="4"/>
  <c r="Q23" i="3"/>
  <c r="M36" i="4" s="1"/>
  <c r="Q21" i="3"/>
  <c r="M34" i="4" s="1"/>
  <c r="E12" i="3"/>
  <c r="Q27" i="3" s="1"/>
  <c r="M40" i="4" s="1"/>
  <c r="G12" i="3"/>
  <c r="I12" i="3"/>
  <c r="Q26" i="3" s="1"/>
  <c r="M39" i="4" s="1"/>
  <c r="H12" i="3"/>
  <c r="Q25" i="3" s="1"/>
  <c r="M38" i="4" s="1"/>
  <c r="D26" i="4"/>
  <c r="C40" i="3"/>
  <c r="C26" i="3"/>
  <c r="C54" i="3"/>
  <c r="R26" i="3" s="1"/>
  <c r="N39" i="4" s="1"/>
  <c r="E26" i="4"/>
  <c r="Q39" i="4" l="1"/>
  <c r="R39" i="4"/>
  <c r="E50" i="4"/>
  <c r="E55" i="4" s="1"/>
  <c r="C50" i="4"/>
  <c r="C48" i="4"/>
  <c r="I50" i="4"/>
  <c r="I55" i="4" s="1"/>
  <c r="H50" i="4"/>
  <c r="H55" i="4" s="1"/>
  <c r="M67" i="4"/>
  <c r="M75" i="4" s="1"/>
  <c r="M74" i="4"/>
  <c r="M73" i="4"/>
  <c r="M72" i="4"/>
  <c r="M71" i="4"/>
  <c r="M70" i="4"/>
  <c r="R24" i="3"/>
  <c r="R25" i="3"/>
  <c r="N38" i="4" s="1"/>
  <c r="R22" i="3"/>
  <c r="N35" i="4" s="1"/>
  <c r="R23" i="3"/>
  <c r="N36" i="4" s="1"/>
  <c r="R21" i="3"/>
  <c r="N37" i="4"/>
  <c r="R32" i="3"/>
  <c r="N45" i="4" s="1"/>
  <c r="R28" i="3"/>
  <c r="N41" i="4" s="1"/>
  <c r="R31" i="3"/>
  <c r="N44" i="4" s="1"/>
  <c r="Q30" i="3"/>
  <c r="M43" i="4" s="1"/>
  <c r="Q32" i="3"/>
  <c r="M45" i="4" s="1"/>
  <c r="Q29" i="3"/>
  <c r="M42" i="4" s="1"/>
  <c r="Q31" i="3"/>
  <c r="M44" i="4" s="1"/>
  <c r="Q24" i="3"/>
  <c r="M37" i="4" s="1"/>
  <c r="Q22" i="3"/>
  <c r="M35" i="4" s="1"/>
  <c r="R20" i="3"/>
  <c r="R33" i="4"/>
  <c r="Q36" i="4"/>
  <c r="Q35" i="4"/>
  <c r="Q37" i="4"/>
  <c r="Q45" i="4" s="1"/>
  <c r="R45" i="4" l="1"/>
  <c r="M60" i="4" s="1"/>
  <c r="Q43" i="4"/>
  <c r="Q44" i="4"/>
  <c r="R44" i="4" s="1"/>
  <c r="M59" i="4" s="1"/>
  <c r="Q41" i="4"/>
  <c r="Q42" i="4"/>
  <c r="Q40" i="4"/>
  <c r="F48" i="4"/>
  <c r="F55" i="4" s="1"/>
  <c r="C55" i="4"/>
  <c r="G48" i="4"/>
  <c r="D48" i="4"/>
  <c r="G50" i="4"/>
  <c r="D50" i="4"/>
  <c r="F50" i="4"/>
  <c r="M54" i="4"/>
  <c r="R29" i="3"/>
  <c r="N42" i="4" s="1"/>
  <c r="R30" i="3"/>
  <c r="N43" i="4" s="1"/>
  <c r="R43" i="4" s="1"/>
  <c r="M58" i="4" s="1"/>
  <c r="N34" i="4"/>
  <c r="R27" i="3"/>
  <c r="N40" i="4" s="1"/>
  <c r="R38" i="4"/>
  <c r="M53" i="4" s="1"/>
  <c r="R36" i="4"/>
  <c r="M51" i="4" s="1"/>
  <c r="R35" i="4"/>
  <c r="M50" i="4" s="1"/>
  <c r="R37" i="4"/>
  <c r="M52" i="4" s="1"/>
  <c r="D55" i="4" l="1"/>
  <c r="G55" i="4"/>
  <c r="R34" i="4"/>
  <c r="M49" i="4" s="1"/>
  <c r="R42" i="4"/>
  <c r="M57" i="4" s="1"/>
  <c r="R41" i="4"/>
  <c r="M56" i="4" s="1"/>
  <c r="R40" i="4"/>
  <c r="M55" i="4" s="1"/>
  <c r="Q67" i="4" l="1"/>
  <c r="Q7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tc={0EE95B95-882F-4CDA-9969-28B42CD797B0}</author>
    <author>tc={06A82B12-677D-48C1-BF17-FB9F00E3706D}</author>
    <author>tc={E2FBB7C2-ABC0-4482-97B3-0A899BCCBFA7}</author>
  </authors>
  <commentList>
    <comment ref="N3" authorId="0" shapeId="0" xr:uid="{0EE95B95-882F-4CDA-9969-28B42CD797B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Dette er utearealet som skolen disponerer med dagens bygningsmasse før et eventuelt nybygg.</t>
      </text>
    </comment>
    <comment ref="C33" authorId="1" shapeId="0" xr:uid="{06A82B12-677D-48C1-BF17-FB9F00E3706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Skal ikke denne være 185 mill. ??</t>
      </text>
    </comment>
    <comment ref="C48" authorId="2" shapeId="0" xr:uid="{E2FBB7C2-ABC0-4482-97B3-0A899BCCBFA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Skal ikke denne være 185 mill. ??</t>
      </text>
    </comment>
  </commentList>
</comments>
</file>

<file path=xl/sharedStrings.xml><?xml version="1.0" encoding="utf-8"?>
<sst xmlns="http://schemas.openxmlformats.org/spreadsheetml/2006/main" count="500" uniqueCount="133">
  <si>
    <t>Skole</t>
  </si>
  <si>
    <t xml:space="preserve">Ant elever 2024-2025 </t>
  </si>
  <si>
    <t>Kapasitet</t>
  </si>
  <si>
    <t>Oppfyllingsgrad</t>
  </si>
  <si>
    <t>Alternativ 0</t>
  </si>
  <si>
    <t>Alternativ 3</t>
  </si>
  <si>
    <t>Alternativ 4</t>
  </si>
  <si>
    <t>Alternativ 5</t>
  </si>
  <si>
    <t>Breidablikk skole</t>
  </si>
  <si>
    <t>Til Romedal B</t>
  </si>
  <si>
    <t>Espa skole</t>
  </si>
  <si>
    <t>Til Tangen</t>
  </si>
  <si>
    <t xml:space="preserve">Solvin/Romedal barneskole </t>
  </si>
  <si>
    <t>Romedal B 1p</t>
  </si>
  <si>
    <t>Tangen skole</t>
  </si>
  <si>
    <t>Romedal B 2p</t>
  </si>
  <si>
    <t>Vallset skole</t>
  </si>
  <si>
    <t>Romedal B 3p</t>
  </si>
  <si>
    <t>Åsbygda skole</t>
  </si>
  <si>
    <t>Til Vallset</t>
  </si>
  <si>
    <t>Solvin skole</t>
  </si>
  <si>
    <t>Totalt</t>
  </si>
  <si>
    <t>RB 1-parallell</t>
  </si>
  <si>
    <t>RB 3-parallell</t>
  </si>
  <si>
    <t>RB 2-parallell</t>
  </si>
  <si>
    <t>Vallset Skole</t>
  </si>
  <si>
    <t>T 2-parallell</t>
  </si>
  <si>
    <t>Tangen 2p</t>
  </si>
  <si>
    <t>Lærernorm</t>
  </si>
  <si>
    <t>Reduksjon årsverk</t>
  </si>
  <si>
    <t>Oppsummering alternativer</t>
  </si>
  <si>
    <t>Drift Skole/sfo</t>
  </si>
  <si>
    <t>Endring skyss</t>
  </si>
  <si>
    <t>Solvin/Romedal barneskole</t>
  </si>
  <si>
    <t>Sum</t>
  </si>
  <si>
    <t>Ledelsesressurs</t>
  </si>
  <si>
    <t>Endring ledelse</t>
  </si>
  <si>
    <t>SFO-kostnader</t>
  </si>
  <si>
    <t>Areal skolebygg (BTA) kvm</t>
  </si>
  <si>
    <t>Bygningsareal kvm</t>
  </si>
  <si>
    <t>Romedal B 1-parallell</t>
  </si>
  <si>
    <t>Romedal B 2-parallell</t>
  </si>
  <si>
    <t>Romedal B 3-parallell</t>
  </si>
  <si>
    <t>Totalt kvm</t>
  </si>
  <si>
    <t>Tangen 2-parallell</t>
  </si>
  <si>
    <t>Hentet fra Holte prisbok 26.08.2024 Barneskole FDV</t>
  </si>
  <si>
    <t>Rehab/oppgrad kostn inne / kvm</t>
  </si>
  <si>
    <t>Kr 633/kvm*20 år</t>
  </si>
  <si>
    <t>Investeringsbehov</t>
  </si>
  <si>
    <t>Oppsummering alternativer - skoledrift og skolebygg</t>
  </si>
  <si>
    <t>BTA skoler kvm</t>
  </si>
  <si>
    <t>Drift bygg</t>
  </si>
  <si>
    <t>Tot årlig drift</t>
  </si>
  <si>
    <t>Breidablikk skole*</t>
  </si>
  <si>
    <t>Til Romedal</t>
  </si>
  <si>
    <t>Solvin/Romedal barneskole*</t>
  </si>
  <si>
    <t>*Solvin/Romedal barneskole</t>
  </si>
  <si>
    <t>Mulighetsstudie varianter av om og utbygging</t>
  </si>
  <si>
    <t>Potensiell innsparing årlig drift</t>
  </si>
  <si>
    <t>Espa og Tangen slås sammen lokalisert på Tangen</t>
  </si>
  <si>
    <t>Breidablikk, Solvin, Vallset og Åsbygda slås sammen lokalisert i Romedal</t>
  </si>
  <si>
    <t>Vallset og Åsbygda slås sammen lokalisert på Vallset</t>
  </si>
  <si>
    <t>Espa, Tangen og Vallset slås sammen lokalisert på Tangen</t>
  </si>
  <si>
    <t>Alternativ 6</t>
  </si>
  <si>
    <t>Breidablikk og Solvin slås sammen lokalisert i Romedal</t>
  </si>
  <si>
    <t>Alternativ 1</t>
  </si>
  <si>
    <t>Alternativ 2</t>
  </si>
  <si>
    <t>Alternativ 1+2</t>
  </si>
  <si>
    <t>Alternativ 1+3</t>
  </si>
  <si>
    <t>Alternativ 1+5</t>
  </si>
  <si>
    <t>Alternativ 1+3+5</t>
  </si>
  <si>
    <t>Breidablikk, Solvin og Åsbygda slås sammen lokalisert i Romedal</t>
  </si>
  <si>
    <t>Alternativ 4+6</t>
  </si>
  <si>
    <t>Alternativ 1+6</t>
  </si>
  <si>
    <t>* Alternativ 4 krever en utbygging av Tangen skole - kan vi etimere et tall?</t>
  </si>
  <si>
    <t>Alternativ 1+ 3+5</t>
  </si>
  <si>
    <t>Uteareal kvm</t>
  </si>
  <si>
    <t>FDV - kost uteareal / kvm</t>
  </si>
  <si>
    <t>FDV - kost inneareal BTA / m2</t>
  </si>
  <si>
    <t>Stange kommunes erfaringspriser basert på 4 skoler og 2 barnehager. Gjennomsnitt beregnet til 29,-/kvm i 2019</t>
  </si>
  <si>
    <t>Scenario 1</t>
  </si>
  <si>
    <t>FDV kostnad bygg kr/kvm per år</t>
  </si>
  <si>
    <t>FDV kostnad uteareal kr/kvm per år</t>
  </si>
  <si>
    <t>Samlet årlig FDV kostnad</t>
  </si>
  <si>
    <t>Bruttoareal bygg kvm</t>
  </si>
  <si>
    <t>Scenario 2</t>
  </si>
  <si>
    <t xml:space="preserve">Nordstad barnehage har et bruttoareal bygg på 570 kvm. Kommunens regnskapstall på Nordstad barnehage for 2022 og 2023 er hentet ut. </t>
  </si>
  <si>
    <t>År</t>
  </si>
  <si>
    <t>Årlig FDV</t>
  </si>
  <si>
    <t>Omregnet til kr/kvm</t>
  </si>
  <si>
    <t>Gjennomsnitt for 22/23</t>
  </si>
  <si>
    <t>Erfaringspriser fra Nordstad barnehage i Sandvika er benyttet som grunnlag for beregning av årlig FDV kostnad per kvm. i Scenario 2.</t>
  </si>
  <si>
    <r>
      <rPr>
        <b/>
        <sz val="12"/>
        <color rgb="FF006100"/>
        <rFont val="Calibri"/>
        <family val="2"/>
        <scheme val="minor"/>
      </rPr>
      <t xml:space="preserve">Scenario 3: </t>
    </r>
    <r>
      <rPr>
        <sz val="12"/>
        <color rgb="FF006100"/>
        <rFont val="Calibri"/>
        <family val="2"/>
        <scheme val="minor"/>
      </rPr>
      <t>Eiendommen avhendes. Avhending er ikke nødvendigvis kostnadsfritt, og det kan heller ikke legges til grunn en forventning om salgsinntekt fra et slikt salg.</t>
    </r>
  </si>
  <si>
    <r>
      <rPr>
        <b/>
        <sz val="12"/>
        <color rgb="FF006100"/>
        <rFont val="Calibri"/>
        <family val="2"/>
        <scheme val="minor"/>
      </rPr>
      <t xml:space="preserve">Scenario 2: </t>
    </r>
    <r>
      <rPr>
        <sz val="12"/>
        <color rgb="FF006100"/>
        <rFont val="Calibri"/>
        <family val="2"/>
        <scheme val="minor"/>
      </rPr>
      <t xml:space="preserve">Eiendommen er ikke solgt, men eiendommen står ubrukt. Forvaltning, drift og vedlikehold er redusert til en minimum, men nok til å sikre nødvendig oppvarming, tilsyn og kritisk vedlikehold. Utearealer klippes 3-4 ganger i året. FDV kostnad for uteareal er derfor redusert til ansalgsvis 25% av kvm-prisen som legges til grunn for generell FDV av uteareal på skoler og barnehager. Kun  hovedatkomstvegen brøytes på vinterstid. For å finne en egnet kvm-pris er det gjort utdrag fra regnskapet for Nordstad barnehage i Sandvika. Her ble barnehagedriften flyttet til Nedre Tømte barnehage i 2021, og bygningen har stått tom og ubrukt siden. </t>
    </r>
  </si>
  <si>
    <t>Bygg og uteareal</t>
  </si>
  <si>
    <t>Areal ute disp. til skole kvm</t>
  </si>
  <si>
    <t>Verdibevaring nybygg /kvm</t>
  </si>
  <si>
    <t>Over 20 år</t>
  </si>
  <si>
    <t>Gj.snitt lærerårsverk</t>
  </si>
  <si>
    <t>Gj.snitt lederårsverk</t>
  </si>
  <si>
    <t>Jmf Mulighetsstudiet Romedal (eks mva)</t>
  </si>
  <si>
    <t>Regnskap 2023</t>
  </si>
  <si>
    <t>Kostnad årsverk gj.snitt</t>
  </si>
  <si>
    <t>Inkl. sos.utg. september 2024</t>
  </si>
  <si>
    <t>Endring SFO utgifter</t>
  </si>
  <si>
    <t>Endring årsverk</t>
  </si>
  <si>
    <t>Snittkostnad pr omregnet hele plasser SFO for Breidablikk, Espa, Solvin,Tangen, Vallset og Åsbygda</t>
  </si>
  <si>
    <t>Snittkostnad pr omregnet hele plasser SFO for Arstad, Hoberg og Stange skole</t>
  </si>
  <si>
    <t>Ant elever SFO 2023 Omregnet i hele plasser</t>
  </si>
  <si>
    <r>
      <rPr>
        <b/>
        <sz val="12"/>
        <color rgb="FF006100"/>
        <rFont val="Calibri"/>
        <family val="2"/>
        <scheme val="minor"/>
      </rPr>
      <t xml:space="preserve">Scenario 1: </t>
    </r>
    <r>
      <rPr>
        <sz val="12"/>
        <color rgb="FF006100"/>
        <rFont val="Calibri"/>
        <family val="2"/>
        <scheme val="minor"/>
      </rPr>
      <t xml:space="preserve">Etterbruk av de aktuelle skolebyggene kan ha ulike driftsformer, og dette vil i stor grad påvirke kostnader knyttet til forvaltning, drift og vedlikehold (FDV). Det kan forutsettes at en andel av dagens FDV-kostnader på byggene vil fortsette. I dette scenarioet er det lagt til grunn at kommunalt eierskap videreføres, men den daglige bruken overtas av feks. lokale lag og foreninger. Kommunens FDV-kostnader reduseres gjennom at bl.a. renhold og drift av utearealene forestås av brukerne. Erfaringsmessig utgjør renhold av skolebygg et betydelig andel av byggets totale FDV-kostnader. Som et anslag er det derfor valgt å legge til grunn en halvering av Holtes FDV-sats. FDV kostnader for uteareal er satt til 0,- under forutsetning at dette ivaretas av ny bruker. </t>
    </r>
  </si>
  <si>
    <t>Potensiell innsparing eiekostnader over 20 år mot 0-alternativet</t>
  </si>
  <si>
    <t>Potensiell endring - behov for kortsiktig investering mot 0-alternativet</t>
  </si>
  <si>
    <t>FDV-kostnader per år</t>
  </si>
  <si>
    <t>Eiekostnad over 20 år</t>
  </si>
  <si>
    <t>Skoleskyss Ordinær skyssrett</t>
  </si>
  <si>
    <t>Transportkostnader til svømmeundervisning</t>
  </si>
  <si>
    <t>Espa</t>
  </si>
  <si>
    <t>Breidablikk</t>
  </si>
  <si>
    <t>Solvin</t>
  </si>
  <si>
    <t>Tangen</t>
  </si>
  <si>
    <t>Vallset</t>
  </si>
  <si>
    <t>Åsbygda</t>
  </si>
  <si>
    <t>Ant elever</t>
  </si>
  <si>
    <t>Utgift fordelt/elev 2023</t>
  </si>
  <si>
    <t>Potensiell endring</t>
  </si>
  <si>
    <t>Forklaring</t>
  </si>
  <si>
    <t xml:space="preserve">Noe redusert kostnad pga kortere veg for elevene fra Espa </t>
  </si>
  <si>
    <t>Trenger ikke skyss</t>
  </si>
  <si>
    <t>Noe redusert kostnad fordi Vallset har en lavere snittpris per transport</t>
  </si>
  <si>
    <t>Økt kostnad da elevene fra Vallset blir dyrere å frakte til svømming ved sammenslåing</t>
  </si>
  <si>
    <t>Forutsetning: Drift av bassenget på Romedal blir videreført</t>
  </si>
  <si>
    <t>snitt</t>
  </si>
  <si>
    <t>Svømmekjøring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</si>
</sst>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-&quot;kr&quot;\ * #,##0.00_-;\-&quot;kr&quot;\ * #,##0.00_-;_-&quot;kr&quot;\ * &quot;-&quot;??_-;_-@_-"/>
    <numFmt numFmtId="165" formatCode="_ &quot;kr&quot;\ * #,##0_ ;_ &quot;kr&quot;\ * \-#,##0_ ;_ &quot;kr&quot;\ * &quot;-&quot;??_ ;_ @_ "/>
    <numFmt numFmtId="166" formatCode="_-* #,##0_-;\-* #,##0_-;_-* &quot;-&quot;??_-;_-@_-"/>
    <numFmt numFmtId="167" formatCode="_-&quot;kr&quot;\ * #,##0_-;\-&quot;kr&quot;\ * #,##0_-;_-&quot;kr&quot;\ * &quot;-&quot;??_-;_-@_-"/>
    <numFmt numFmtId="168" formatCode="&quot;kr&quot;\ 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8" borderId="0" applyNumberFormat="0" applyBorder="0" applyAlignment="0" applyProtection="0"/>
    <xf numFmtId="0" fontId="10" fillId="9" borderId="5" applyNumberFormat="0" applyAlignment="0" applyProtection="0"/>
  </cellStyleXfs>
  <cellXfs count="147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/>
    <xf numFmtId="165" fontId="0" fillId="0" borderId="1" xfId="0" applyNumberFormat="1" applyBorder="1"/>
    <xf numFmtId="44" fontId="0" fillId="0" borderId="1" xfId="0" applyNumberFormat="1" applyBorder="1"/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/>
    <xf numFmtId="0" fontId="0" fillId="3" borderId="1" xfId="0" applyFill="1" applyBorder="1"/>
    <xf numFmtId="0" fontId="0" fillId="4" borderId="1" xfId="0" applyFill="1" applyBorder="1"/>
    <xf numFmtId="9" fontId="0" fillId="5" borderId="1" xfId="0" applyNumberFormat="1" applyFill="1" applyBorder="1"/>
    <xf numFmtId="0" fontId="0" fillId="5" borderId="1" xfId="0" applyFill="1" applyBorder="1"/>
    <xf numFmtId="9" fontId="0" fillId="3" borderId="1" xfId="0" applyNumberFormat="1" applyFill="1" applyBorder="1"/>
    <xf numFmtId="165" fontId="0" fillId="5" borderId="1" xfId="0" applyNumberFormat="1" applyFill="1" applyBorder="1"/>
    <xf numFmtId="165" fontId="0" fillId="3" borderId="1" xfId="0" applyNumberFormat="1" applyFill="1" applyBorder="1"/>
    <xf numFmtId="165" fontId="0" fillId="0" borderId="0" xfId="0" applyNumberFormat="1"/>
    <xf numFmtId="0" fontId="4" fillId="6" borderId="1" xfId="0" applyFont="1" applyFill="1" applyBorder="1" applyAlignment="1">
      <alignment vertical="top" wrapText="1"/>
    </xf>
    <xf numFmtId="0" fontId="0" fillId="7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165" fontId="0" fillId="5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9" fontId="0" fillId="5" borderId="1" xfId="0" applyNumberFormat="1" applyFill="1" applyBorder="1" applyAlignment="1">
      <alignment horizontal="right"/>
    </xf>
    <xf numFmtId="0" fontId="6" fillId="0" borderId="0" xfId="0" applyFont="1"/>
    <xf numFmtId="165" fontId="6" fillId="5" borderId="1" xfId="0" applyNumberFormat="1" applyFont="1" applyFill="1" applyBorder="1"/>
    <xf numFmtId="165" fontId="6" fillId="3" borderId="1" xfId="0" applyNumberFormat="1" applyFont="1" applyFill="1" applyBorder="1"/>
    <xf numFmtId="0" fontId="6" fillId="5" borderId="1" xfId="0" applyFont="1" applyFill="1" applyBorder="1"/>
    <xf numFmtId="9" fontId="0" fillId="3" borderId="1" xfId="0" applyNumberFormat="1" applyFill="1" applyBorder="1" applyAlignment="1">
      <alignment horizontal="right"/>
    </xf>
    <xf numFmtId="9" fontId="8" fillId="5" borderId="1" xfId="0" applyNumberFormat="1" applyFont="1" applyFill="1" applyBorder="1"/>
    <xf numFmtId="0" fontId="0" fillId="3" borderId="1" xfId="0" applyFill="1" applyBorder="1" applyAlignment="1">
      <alignment horizontal="right"/>
    </xf>
    <xf numFmtId="165" fontId="8" fillId="5" borderId="1" xfId="0" applyNumberFormat="1" applyFont="1" applyFill="1" applyBorder="1"/>
    <xf numFmtId="0" fontId="1" fillId="0" borderId="0" xfId="0" applyFont="1"/>
    <xf numFmtId="167" fontId="0" fillId="4" borderId="1" xfId="3" applyNumberFormat="1" applyFont="1" applyFill="1" applyBorder="1"/>
    <xf numFmtId="0" fontId="4" fillId="6" borderId="6" xfId="0" applyFont="1" applyFill="1" applyBorder="1" applyAlignment="1">
      <alignment vertical="top" wrapText="1"/>
    </xf>
    <xf numFmtId="0" fontId="1" fillId="4" borderId="7" xfId="0" applyFont="1" applyFill="1" applyBorder="1"/>
    <xf numFmtId="167" fontId="0" fillId="4" borderId="8" xfId="3" applyNumberFormat="1" applyFont="1" applyFill="1" applyBorder="1"/>
    <xf numFmtId="0" fontId="1" fillId="4" borderId="10" xfId="0" applyFont="1" applyFill="1" applyBorder="1"/>
    <xf numFmtId="0" fontId="1" fillId="4" borderId="12" xfId="0" applyFont="1" applyFill="1" applyBorder="1"/>
    <xf numFmtId="167" fontId="0" fillId="4" borderId="13" xfId="3" applyNumberFormat="1" applyFont="1" applyFill="1" applyBorder="1"/>
    <xf numFmtId="166" fontId="0" fillId="4" borderId="16" xfId="2" applyNumberFormat="1" applyFont="1" applyFill="1" applyBorder="1" applyAlignment="1">
      <alignment horizontal="left" indent="2"/>
    </xf>
    <xf numFmtId="166" fontId="0" fillId="4" borderId="3" xfId="2" applyNumberFormat="1" applyFont="1" applyFill="1" applyBorder="1" applyAlignment="1">
      <alignment horizontal="left" indent="2"/>
    </xf>
    <xf numFmtId="166" fontId="0" fillId="4" borderId="17" xfId="2" applyNumberFormat="1" applyFont="1" applyFill="1" applyBorder="1" applyAlignment="1">
      <alignment horizontal="left" indent="2"/>
    </xf>
    <xf numFmtId="166" fontId="0" fillId="4" borderId="16" xfId="2" applyNumberFormat="1" applyFont="1" applyFill="1" applyBorder="1"/>
    <xf numFmtId="166" fontId="0" fillId="4" borderId="3" xfId="2" applyNumberFormat="1" applyFont="1" applyFill="1" applyBorder="1"/>
    <xf numFmtId="166" fontId="0" fillId="4" borderId="17" xfId="2" applyNumberFormat="1" applyFont="1" applyFill="1" applyBorder="1"/>
    <xf numFmtId="0" fontId="4" fillId="6" borderId="19" xfId="0" applyFont="1" applyFill="1" applyBorder="1" applyAlignment="1">
      <alignment vertical="top" wrapText="1"/>
    </xf>
    <xf numFmtId="0" fontId="13" fillId="0" borderId="0" xfId="0" applyFont="1"/>
    <xf numFmtId="0" fontId="10" fillId="9" borderId="5" xfId="5"/>
    <xf numFmtId="167" fontId="10" fillId="9" borderId="5" xfId="5" applyNumberFormat="1"/>
    <xf numFmtId="0" fontId="14" fillId="9" borderId="5" xfId="5" applyFont="1" applyAlignment="1">
      <alignment horizontal="right" vertical="center"/>
    </xf>
    <xf numFmtId="0" fontId="14" fillId="9" borderId="5" xfId="5" applyFont="1" applyAlignment="1">
      <alignment vertical="center"/>
    </xf>
    <xf numFmtId="0" fontId="14" fillId="9" borderId="5" xfId="5" applyFont="1" applyAlignment="1">
      <alignment vertical="center" wrapText="1"/>
    </xf>
    <xf numFmtId="0" fontId="14" fillId="9" borderId="5" xfId="5" applyFont="1" applyAlignment="1">
      <alignment wrapText="1"/>
    </xf>
    <xf numFmtId="167" fontId="0" fillId="4" borderId="7" xfId="3" applyNumberFormat="1" applyFont="1" applyFill="1" applyBorder="1"/>
    <xf numFmtId="167" fontId="0" fillId="4" borderId="10" xfId="3" applyNumberFormat="1" applyFont="1" applyFill="1" applyBorder="1"/>
    <xf numFmtId="167" fontId="0" fillId="4" borderId="12" xfId="3" applyNumberFormat="1" applyFont="1" applyFill="1" applyBorder="1"/>
    <xf numFmtId="167" fontId="5" fillId="4" borderId="9" xfId="3" applyNumberFormat="1" applyFont="1" applyFill="1" applyBorder="1" applyAlignment="1">
      <alignment horizontal="left" indent="2"/>
    </xf>
    <xf numFmtId="167" fontId="5" fillId="4" borderId="11" xfId="3" applyNumberFormat="1" applyFont="1" applyFill="1" applyBorder="1" applyAlignment="1">
      <alignment horizontal="left" indent="2"/>
    </xf>
    <xf numFmtId="167" fontId="5" fillId="4" borderId="14" xfId="3" applyNumberFormat="1" applyFont="1" applyFill="1" applyBorder="1" applyAlignment="1">
      <alignment horizontal="left" indent="2"/>
    </xf>
    <xf numFmtId="0" fontId="4" fillId="6" borderId="18" xfId="0" applyFont="1" applyFill="1" applyBorder="1" applyAlignment="1">
      <alignment vertical="top" wrapText="1"/>
    </xf>
    <xf numFmtId="0" fontId="1" fillId="4" borderId="20" xfId="0" applyFont="1" applyFill="1" applyBorder="1"/>
    <xf numFmtId="166" fontId="0" fillId="4" borderId="20" xfId="2" applyNumberFormat="1" applyFont="1" applyFill="1" applyBorder="1" applyAlignment="1">
      <alignment horizontal="left" indent="2"/>
    </xf>
    <xf numFmtId="166" fontId="0" fillId="4" borderId="20" xfId="2" applyNumberFormat="1" applyFont="1" applyFill="1" applyBorder="1"/>
    <xf numFmtId="0" fontId="1" fillId="4" borderId="22" xfId="0" applyFont="1" applyFill="1" applyBorder="1"/>
    <xf numFmtId="166" fontId="0" fillId="4" borderId="22" xfId="2" applyNumberFormat="1" applyFont="1" applyFill="1" applyBorder="1" applyAlignment="1">
      <alignment horizontal="left" indent="2"/>
    </xf>
    <xf numFmtId="166" fontId="0" fillId="4" borderId="22" xfId="2" applyNumberFormat="1" applyFont="1" applyFill="1" applyBorder="1"/>
    <xf numFmtId="0" fontId="1" fillId="4" borderId="23" xfId="0" applyFont="1" applyFill="1" applyBorder="1"/>
    <xf numFmtId="166" fontId="0" fillId="4" borderId="23" xfId="2" applyNumberFormat="1" applyFont="1" applyFill="1" applyBorder="1" applyAlignment="1">
      <alignment horizontal="left" indent="2"/>
    </xf>
    <xf numFmtId="166" fontId="0" fillId="4" borderId="23" xfId="2" applyNumberFormat="1" applyFont="1" applyFill="1" applyBorder="1"/>
    <xf numFmtId="166" fontId="0" fillId="4" borderId="1" xfId="2" applyNumberFormat="1" applyFont="1" applyFill="1" applyBorder="1"/>
    <xf numFmtId="166" fontId="8" fillId="4" borderId="1" xfId="2" applyNumberFormat="1" applyFont="1" applyFill="1" applyBorder="1"/>
    <xf numFmtId="1" fontId="0" fillId="0" borderId="0" xfId="0" applyNumberFormat="1"/>
    <xf numFmtId="0" fontId="0" fillId="4" borderId="2" xfId="0" applyFill="1" applyBorder="1"/>
    <xf numFmtId="168" fontId="0" fillId="4" borderId="3" xfId="0" applyNumberFormat="1" applyFill="1" applyBorder="1"/>
    <xf numFmtId="165" fontId="8" fillId="3" borderId="1" xfId="0" applyNumberFormat="1" applyFont="1" applyFill="1" applyBorder="1"/>
    <xf numFmtId="165" fontId="8" fillId="3" borderId="1" xfId="0" applyNumberFormat="1" applyFont="1" applyFill="1" applyBorder="1" applyAlignment="1">
      <alignment horizontal="center"/>
    </xf>
    <xf numFmtId="165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9" fontId="8" fillId="5" borderId="1" xfId="1" applyFont="1" applyFill="1" applyBorder="1"/>
    <xf numFmtId="165" fontId="8" fillId="4" borderId="1" xfId="0" applyNumberFormat="1" applyFont="1" applyFill="1" applyBorder="1"/>
    <xf numFmtId="0" fontId="6" fillId="3" borderId="1" xfId="0" applyFont="1" applyFill="1" applyBorder="1"/>
    <xf numFmtId="168" fontId="8" fillId="0" borderId="1" xfId="0" applyNumberFormat="1" applyFont="1" applyBorder="1"/>
    <xf numFmtId="0" fontId="8" fillId="0" borderId="1" xfId="0" applyFont="1" applyBorder="1"/>
    <xf numFmtId="17" fontId="0" fillId="0" borderId="1" xfId="0" applyNumberFormat="1" applyBorder="1"/>
    <xf numFmtId="165" fontId="5" fillId="5" borderId="1" xfId="0" applyNumberFormat="1" applyFont="1" applyFill="1" applyBorder="1"/>
    <xf numFmtId="165" fontId="5" fillId="4" borderId="1" xfId="0" applyNumberFormat="1" applyFont="1" applyFill="1" applyBorder="1"/>
    <xf numFmtId="0" fontId="0" fillId="0" borderId="24" xfId="0" applyBorder="1"/>
    <xf numFmtId="0" fontId="0" fillId="0" borderId="15" xfId="0" applyBorder="1"/>
    <xf numFmtId="44" fontId="6" fillId="0" borderId="0" xfId="0" applyNumberFormat="1" applyFont="1" applyAlignment="1">
      <alignment horizontal="center"/>
    </xf>
    <xf numFmtId="166" fontId="0" fillId="0" borderId="0" xfId="0" applyNumberFormat="1"/>
    <xf numFmtId="9" fontId="0" fillId="0" borderId="0" xfId="1" applyFont="1"/>
    <xf numFmtId="166" fontId="0" fillId="3" borderId="1" xfId="0" applyNumberFormat="1" applyFill="1" applyBorder="1"/>
    <xf numFmtId="9" fontId="8" fillId="3" borderId="1" xfId="0" applyNumberFormat="1" applyFont="1" applyFill="1" applyBorder="1"/>
    <xf numFmtId="165" fontId="0" fillId="4" borderId="1" xfId="0" applyNumberFormat="1" applyFill="1" applyBorder="1"/>
    <xf numFmtId="164" fontId="0" fillId="0" borderId="0" xfId="0" applyNumberFormat="1"/>
    <xf numFmtId="0" fontId="0" fillId="7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168" fontId="8" fillId="5" borderId="2" xfId="0" applyNumberFormat="1" applyFont="1" applyFill="1" applyBorder="1" applyAlignment="1">
      <alignment horizontal="right"/>
    </xf>
    <xf numFmtId="168" fontId="8" fillId="5" borderId="3" xfId="0" applyNumberFormat="1" applyFont="1" applyFill="1" applyBorder="1" applyAlignment="1">
      <alignment horizontal="right"/>
    </xf>
    <xf numFmtId="168" fontId="0" fillId="5" borderId="2" xfId="0" applyNumberFormat="1" applyFill="1" applyBorder="1" applyAlignment="1">
      <alignment horizontal="right"/>
    </xf>
    <xf numFmtId="168" fontId="0" fillId="5" borderId="4" xfId="0" applyNumberFormat="1" applyFill="1" applyBorder="1" applyAlignment="1">
      <alignment horizontal="right"/>
    </xf>
    <xf numFmtId="168" fontId="0" fillId="5" borderId="3" xfId="0" applyNumberFormat="1" applyFill="1" applyBorder="1" applyAlignment="1">
      <alignment horizontal="right"/>
    </xf>
    <xf numFmtId="0" fontId="15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4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8" fontId="0" fillId="4" borderId="2" xfId="0" applyNumberFormat="1" applyFill="1" applyBorder="1" applyAlignment="1">
      <alignment horizontal="right"/>
    </xf>
    <xf numFmtId="168" fontId="0" fillId="4" borderId="3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5" fontId="0" fillId="4" borderId="2" xfId="0" applyNumberFormat="1" applyFill="1" applyBorder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4" fontId="8" fillId="5" borderId="1" xfId="0" applyNumberFormat="1" applyFont="1" applyFill="1" applyBorder="1" applyAlignment="1">
      <alignment horizontal="center"/>
    </xf>
    <xf numFmtId="167" fontId="10" fillId="9" borderId="5" xfId="5" applyNumberFormat="1" applyAlignment="1">
      <alignment horizontal="center" vertical="center"/>
    </xf>
    <xf numFmtId="0" fontId="11" fillId="8" borderId="2" xfId="4" applyFont="1" applyBorder="1" applyAlignment="1">
      <alignment horizontal="left" vertical="center" wrapText="1"/>
    </xf>
    <xf numFmtId="0" fontId="11" fillId="8" borderId="4" xfId="4" applyFont="1" applyBorder="1" applyAlignment="1">
      <alignment horizontal="left" vertical="center" wrapText="1"/>
    </xf>
    <xf numFmtId="0" fontId="11" fillId="8" borderId="3" xfId="4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0" fillId="0" borderId="0" xfId="0"/>
  </cellXfs>
  <cellStyles count="6">
    <cellStyle name="God" xfId="4" builtinId="26"/>
    <cellStyle name="Inndata" xfId="5" builtinId="20"/>
    <cellStyle name="Komma" xfId="2" builtinId="3"/>
    <cellStyle name="Normal" xfId="0" builtinId="0"/>
    <cellStyle name="Prosent" xfId="1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756985</xdr:colOff>
      <xdr:row>9</xdr:row>
      <xdr:rowOff>146397</xdr:rowOff>
    </xdr:from>
    <xdr:to>
      <xdr:col>28</xdr:col>
      <xdr:colOff>796312</xdr:colOff>
      <xdr:row>26</xdr:row>
      <xdr:rowOff>7604</xdr:rowOff>
    </xdr:to>
    <xdr:pic>
      <xdr:nvPicPr>
        <xdr:cNvPr id="5" name="Bilde 1">
          <a:extLst>
            <a:ext uri="{FF2B5EF4-FFF2-40B4-BE49-F238E27FC236}">
              <a16:creationId xmlns:a16="http://schemas.microsoft.com/office/drawing/2014/main" id="{F181178B-347E-B0CD-850E-6A7F7EA11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81806" y="1928933"/>
          <a:ext cx="4856256" cy="2950028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27</xdr:row>
      <xdr:rowOff>54429</xdr:rowOff>
    </xdr:from>
    <xdr:to>
      <xdr:col>28</xdr:col>
      <xdr:colOff>800406</xdr:colOff>
      <xdr:row>44</xdr:row>
      <xdr:rowOff>37646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D5A84310-A765-8FEE-304C-D1801CE4A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227643" y="5102679"/>
          <a:ext cx="4814513" cy="29903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irik Sperrud" id="{4C0A1083-555D-4D9E-AAEA-8D1574257383}" userId="Eirik Sperrud" providerId="Non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" dT="2024-09-11T12:22:34.54" personId="{4C0A1083-555D-4D9E-AAEA-8D1574257383}" id="{0EE95B95-882F-4CDA-9969-28B42CD797B0}">
    <text>Dette er utearealet som skolen disponerer med dagens bygningsmasse før et eventuelt nybygg.</text>
  </threadedComment>
  <threadedComment ref="C33" dT="2024-09-16T06:35:15.89" personId="{4C0A1083-555D-4D9E-AAEA-8D1574257383}" id="{06A82B12-677D-48C1-BF17-FB9F00E3706D}">
    <text>Skal ikke denne være 185 mill. ??</text>
  </threadedComment>
  <threadedComment ref="C48" dT="2024-09-16T06:35:15.89" personId="{4C0A1083-555D-4D9E-AAEA-8D1574257383}" id="{E2FBB7C2-ABC0-4482-97B3-0A899BCCBFA7}">
    <text>Skal ikke denne være 185 mill. ??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99"/>
  <sheetViews>
    <sheetView zoomScaleNormal="100" workbookViewId="0">
      <selection activeCell="O55" sqref="O55"/>
    </sheetView>
  </sheetViews>
  <sheetFormatPr baseColWidth="10" defaultColWidth="11.453125" defaultRowHeight="14.5" x14ac:dyDescent="0.35"/>
  <cols>
    <col min="1" max="1" width="3.7265625" customWidth="1"/>
    <col min="2" max="2" width="27.7265625" customWidth="1"/>
    <col min="3" max="4" width="15" customWidth="1"/>
    <col min="5" max="5" width="15.26953125" customWidth="1"/>
    <col min="6" max="6" width="15" customWidth="1"/>
    <col min="7" max="7" width="16.1796875" customWidth="1"/>
    <col min="8" max="9" width="16" customWidth="1"/>
    <col min="10" max="10" width="5.26953125" customWidth="1"/>
    <col min="11" max="11" width="5.54296875" customWidth="1"/>
    <col min="12" max="12" width="17.1796875" customWidth="1"/>
    <col min="13" max="13" width="14.453125" customWidth="1"/>
    <col min="14" max="14" width="14.26953125" bestFit="1" customWidth="1"/>
    <col min="16" max="16" width="15.1796875" customWidth="1"/>
    <col min="17" max="17" width="16" customWidth="1"/>
    <col min="18" max="18" width="19.453125" customWidth="1"/>
    <col min="19" max="19" width="17.81640625" customWidth="1"/>
    <col min="20" max="20" width="5.453125" customWidth="1"/>
    <col min="21" max="21" width="17.1796875" customWidth="1"/>
  </cols>
  <sheetData>
    <row r="1" spans="2:15" ht="72" customHeight="1" x14ac:dyDescent="0.35"/>
    <row r="2" spans="2:15" ht="58" x14ac:dyDescent="0.35">
      <c r="L2" s="6" t="s">
        <v>0</v>
      </c>
      <c r="M2" s="7" t="s">
        <v>1</v>
      </c>
      <c r="N2" s="7" t="s">
        <v>2</v>
      </c>
      <c r="O2" s="7" t="s">
        <v>108</v>
      </c>
    </row>
    <row r="3" spans="2:15" x14ac:dyDescent="0.35">
      <c r="B3" s="1" t="s">
        <v>3</v>
      </c>
      <c r="C3" s="1" t="s">
        <v>4</v>
      </c>
      <c r="D3" s="1" t="s">
        <v>65</v>
      </c>
      <c r="E3" s="1" t="s">
        <v>66</v>
      </c>
      <c r="F3" s="1" t="s">
        <v>5</v>
      </c>
      <c r="G3" s="1" t="s">
        <v>6</v>
      </c>
      <c r="H3" s="1" t="s">
        <v>7</v>
      </c>
      <c r="I3" s="1" t="s">
        <v>63</v>
      </c>
      <c r="L3" s="8" t="s">
        <v>8</v>
      </c>
      <c r="M3" s="10">
        <v>99</v>
      </c>
      <c r="N3" s="10">
        <v>140</v>
      </c>
      <c r="O3" s="10">
        <v>19.489999999999998</v>
      </c>
    </row>
    <row r="4" spans="2:15" x14ac:dyDescent="0.35">
      <c r="B4" s="3"/>
      <c r="C4" s="3"/>
      <c r="D4" s="3"/>
      <c r="E4" s="20"/>
      <c r="F4" s="20"/>
      <c r="G4" s="3"/>
      <c r="H4" s="3"/>
      <c r="I4" s="3"/>
      <c r="L4" s="8" t="s">
        <v>10</v>
      </c>
      <c r="M4" s="10">
        <v>45</v>
      </c>
      <c r="N4" s="10">
        <v>49</v>
      </c>
      <c r="O4" s="10">
        <v>4.5999999999999996</v>
      </c>
    </row>
    <row r="5" spans="2:15" x14ac:dyDescent="0.35">
      <c r="B5" s="3" t="s">
        <v>8</v>
      </c>
      <c r="C5" s="11">
        <f>M3/N3</f>
        <v>0.70714285714285718</v>
      </c>
      <c r="D5" s="11">
        <f>C5</f>
        <v>0.70714285714285718</v>
      </c>
      <c r="E5" s="19" t="s">
        <v>9</v>
      </c>
      <c r="F5" s="25">
        <f>C5</f>
        <v>0.70714285714285718</v>
      </c>
      <c r="G5" s="11">
        <f>C5</f>
        <v>0.70714285714285718</v>
      </c>
      <c r="H5" s="24" t="s">
        <v>9</v>
      </c>
      <c r="I5" s="24" t="s">
        <v>9</v>
      </c>
      <c r="L5" s="8" t="s">
        <v>13</v>
      </c>
      <c r="M5" s="10"/>
      <c r="N5" s="10">
        <v>175</v>
      </c>
      <c r="O5" s="10"/>
    </row>
    <row r="6" spans="2:15" x14ac:dyDescent="0.35">
      <c r="B6" s="3" t="s">
        <v>10</v>
      </c>
      <c r="C6" s="11">
        <f>M4/N4</f>
        <v>0.91836734693877553</v>
      </c>
      <c r="D6" s="19" t="s">
        <v>11</v>
      </c>
      <c r="E6" s="11">
        <f>C6</f>
        <v>0.91836734693877553</v>
      </c>
      <c r="F6" s="11">
        <f>C6</f>
        <v>0.91836734693877553</v>
      </c>
      <c r="G6" s="24" t="s">
        <v>11</v>
      </c>
      <c r="H6" s="11">
        <f>C6</f>
        <v>0.91836734693877553</v>
      </c>
      <c r="I6" s="11">
        <f>C6</f>
        <v>0.91836734693877553</v>
      </c>
      <c r="L6" s="8" t="s">
        <v>15</v>
      </c>
      <c r="M6" s="10"/>
      <c r="N6" s="10">
        <v>385</v>
      </c>
      <c r="O6" s="10"/>
    </row>
    <row r="7" spans="2:15" x14ac:dyDescent="0.35">
      <c r="B7" s="3" t="s">
        <v>12</v>
      </c>
      <c r="C7" s="11">
        <f>M8/N5</f>
        <v>0.76571428571428568</v>
      </c>
      <c r="D7" s="11">
        <f>C7</f>
        <v>0.76571428571428568</v>
      </c>
      <c r="E7" s="13">
        <f>(M8+M3+M10+M11)/N7</f>
        <v>0.70924369747899163</v>
      </c>
      <c r="F7" s="11">
        <f>C7</f>
        <v>0.76571428571428568</v>
      </c>
      <c r="G7" s="11">
        <f>C7</f>
        <v>0.76571428571428568</v>
      </c>
      <c r="H7" s="13">
        <f>(M8+M3)/N6</f>
        <v>0.60519480519480517</v>
      </c>
      <c r="I7" s="13">
        <f>(M3+M8+M11)/N6</f>
        <v>0.77662337662337666</v>
      </c>
      <c r="L7" s="8" t="s">
        <v>17</v>
      </c>
      <c r="M7" s="10"/>
      <c r="N7" s="10">
        <v>595</v>
      </c>
      <c r="O7" s="10"/>
    </row>
    <row r="8" spans="2:15" x14ac:dyDescent="0.35">
      <c r="B8" s="3" t="s">
        <v>14</v>
      </c>
      <c r="C8" s="11">
        <f>M9/N9</f>
        <v>0.50909090909090904</v>
      </c>
      <c r="D8" s="13">
        <f>(M4+M9)/N9</f>
        <v>0.78181818181818186</v>
      </c>
      <c r="E8" s="11">
        <f>C8</f>
        <v>0.50909090909090904</v>
      </c>
      <c r="F8" s="11">
        <f>C8</f>
        <v>0.50909090909090904</v>
      </c>
      <c r="G8" s="95">
        <f>(M9+M10+M4)/N12</f>
        <v>0.72</v>
      </c>
      <c r="H8" s="11">
        <f>C8</f>
        <v>0.50909090909090904</v>
      </c>
      <c r="I8" s="11">
        <f>C8</f>
        <v>0.50909090909090904</v>
      </c>
      <c r="L8" s="8" t="s">
        <v>20</v>
      </c>
      <c r="M8" s="10">
        <v>134</v>
      </c>
      <c r="N8" s="10">
        <v>165</v>
      </c>
      <c r="O8" s="10">
        <v>43.05</v>
      </c>
    </row>
    <row r="9" spans="2:15" x14ac:dyDescent="0.35">
      <c r="B9" s="3" t="s">
        <v>16</v>
      </c>
      <c r="C9" s="11">
        <f>M10/N10</f>
        <v>0.82</v>
      </c>
      <c r="D9" s="11">
        <f>C9</f>
        <v>0.82</v>
      </c>
      <c r="E9" s="19" t="s">
        <v>9</v>
      </c>
      <c r="F9" s="95">
        <f>(M10+M11)/N10</f>
        <v>1.26</v>
      </c>
      <c r="G9" s="19" t="s">
        <v>11</v>
      </c>
      <c r="H9" s="11">
        <f>C9</f>
        <v>0.82</v>
      </c>
      <c r="I9" s="11">
        <f>C9</f>
        <v>0.82</v>
      </c>
      <c r="L9" s="8" t="s">
        <v>14</v>
      </c>
      <c r="M9" s="10">
        <v>84</v>
      </c>
      <c r="N9" s="10">
        <v>165</v>
      </c>
      <c r="O9" s="10">
        <v>26.97</v>
      </c>
    </row>
    <row r="10" spans="2:15" x14ac:dyDescent="0.35">
      <c r="B10" s="3" t="s">
        <v>18</v>
      </c>
      <c r="C10" s="11">
        <f>M11/N11</f>
        <v>0.60550458715596334</v>
      </c>
      <c r="D10" s="11">
        <f>C10</f>
        <v>0.60550458715596334</v>
      </c>
      <c r="E10" s="19" t="s">
        <v>9</v>
      </c>
      <c r="F10" s="19" t="s">
        <v>19</v>
      </c>
      <c r="G10" s="25">
        <f>C10</f>
        <v>0.60550458715596334</v>
      </c>
      <c r="H10" s="25">
        <f>C10</f>
        <v>0.60550458715596334</v>
      </c>
      <c r="I10" s="30" t="s">
        <v>9</v>
      </c>
      <c r="L10" s="8" t="s">
        <v>25</v>
      </c>
      <c r="M10" s="10">
        <v>123</v>
      </c>
      <c r="N10" s="10">
        <v>150</v>
      </c>
      <c r="O10" s="10">
        <v>37.58</v>
      </c>
    </row>
    <row r="11" spans="2:15" x14ac:dyDescent="0.35">
      <c r="B11" s="3"/>
      <c r="C11" s="3"/>
      <c r="D11" s="3"/>
      <c r="E11" s="3"/>
      <c r="F11" s="3"/>
      <c r="G11" s="3"/>
      <c r="H11" s="3"/>
      <c r="I11" s="3"/>
      <c r="L11" s="8" t="s">
        <v>18</v>
      </c>
      <c r="M11" s="10">
        <v>66</v>
      </c>
      <c r="N11" s="10">
        <v>109</v>
      </c>
      <c r="O11" s="10">
        <v>24.66</v>
      </c>
    </row>
    <row r="12" spans="2:15" x14ac:dyDescent="0.35">
      <c r="B12" s="3" t="s">
        <v>21</v>
      </c>
      <c r="C12" s="11">
        <f>(C5+C6+C7+C8+C9+C10)/6</f>
        <v>0.72096999767379844</v>
      </c>
      <c r="D12" s="11">
        <f>(D5+D7+D8+D9+D10)/5</f>
        <v>0.73603598236625756</v>
      </c>
      <c r="E12" s="11">
        <f>(E6+E7+E8)/3</f>
        <v>0.71223398450289199</v>
      </c>
      <c r="F12" s="31">
        <f>(F5+F6+F7+F8+F9)/5</f>
        <v>0.83206307977736549</v>
      </c>
      <c r="G12" s="31">
        <f>(G5+G7+G8+G10)/4</f>
        <v>0.69959043250327657</v>
      </c>
      <c r="H12" s="11">
        <f>(H6+H7+H8+H9+H10)/5</f>
        <v>0.69163152967609054</v>
      </c>
      <c r="I12" s="11">
        <f>(I6+I7+I8+I9)/4</f>
        <v>0.75602040816326521</v>
      </c>
      <c r="L12" s="8" t="s">
        <v>27</v>
      </c>
      <c r="M12" s="10"/>
      <c r="N12" s="10">
        <v>350</v>
      </c>
      <c r="O12" s="10"/>
    </row>
    <row r="13" spans="2:15" x14ac:dyDescent="0.35">
      <c r="C13" s="20" t="s">
        <v>22</v>
      </c>
      <c r="D13" s="20" t="s">
        <v>22</v>
      </c>
      <c r="E13" s="20" t="s">
        <v>23</v>
      </c>
      <c r="F13" s="20" t="s">
        <v>22</v>
      </c>
      <c r="G13" s="20" t="s">
        <v>22</v>
      </c>
      <c r="H13" s="20" t="s">
        <v>24</v>
      </c>
      <c r="I13" s="20"/>
    </row>
    <row r="14" spans="2:15" x14ac:dyDescent="0.35">
      <c r="F14" s="3"/>
      <c r="G14" s="20" t="s">
        <v>26</v>
      </c>
    </row>
    <row r="15" spans="2:15" x14ac:dyDescent="0.35">
      <c r="L15" s="99"/>
      <c r="M15" s="99"/>
      <c r="N15" s="99"/>
    </row>
    <row r="17" spans="2:19" x14ac:dyDescent="0.35">
      <c r="B17" s="1" t="s">
        <v>28</v>
      </c>
      <c r="C17" s="1" t="s">
        <v>4</v>
      </c>
      <c r="D17" s="1" t="s">
        <v>65</v>
      </c>
      <c r="E17" s="1" t="s">
        <v>66</v>
      </c>
      <c r="F17" s="1" t="s">
        <v>5</v>
      </c>
      <c r="G17" s="1" t="s">
        <v>6</v>
      </c>
      <c r="H17" s="1" t="s">
        <v>7</v>
      </c>
      <c r="I17" s="1" t="s">
        <v>63</v>
      </c>
      <c r="L17" s="100" t="s">
        <v>102</v>
      </c>
      <c r="M17" s="100"/>
      <c r="N17" s="100"/>
    </row>
    <row r="18" spans="2:19" x14ac:dyDescent="0.35">
      <c r="B18" s="3" t="s">
        <v>29</v>
      </c>
      <c r="C18" s="3"/>
      <c r="D18" s="3"/>
      <c r="E18" s="3"/>
      <c r="F18" s="3"/>
      <c r="G18" s="3"/>
      <c r="H18" s="3"/>
      <c r="I18" s="3"/>
      <c r="L18" s="3" t="s">
        <v>99</v>
      </c>
      <c r="M18" s="3"/>
      <c r="N18" s="84">
        <v>1157334</v>
      </c>
      <c r="P18" s="98" t="s">
        <v>30</v>
      </c>
      <c r="Q18" s="98"/>
      <c r="R18" s="98"/>
      <c r="S18" s="98"/>
    </row>
    <row r="19" spans="2:19" x14ac:dyDescent="0.35">
      <c r="B19" s="3" t="s">
        <v>8</v>
      </c>
      <c r="C19" s="33"/>
      <c r="D19" s="33">
        <f>C19</f>
        <v>0</v>
      </c>
      <c r="E19" s="78" t="s">
        <v>9</v>
      </c>
      <c r="F19" s="79"/>
      <c r="G19" s="33">
        <f>C19</f>
        <v>0</v>
      </c>
      <c r="H19" s="78" t="s">
        <v>9</v>
      </c>
      <c r="I19" s="78" t="s">
        <v>9</v>
      </c>
      <c r="L19" s="3"/>
      <c r="M19" s="3"/>
      <c r="N19" s="85"/>
      <c r="P19" s="18"/>
      <c r="Q19" s="18" t="s">
        <v>3</v>
      </c>
      <c r="R19" s="18" t="s">
        <v>31</v>
      </c>
      <c r="S19" s="18" t="s">
        <v>32</v>
      </c>
    </row>
    <row r="20" spans="2:19" x14ac:dyDescent="0.35">
      <c r="B20" s="3" t="s">
        <v>10</v>
      </c>
      <c r="C20" s="33"/>
      <c r="D20" s="78" t="s">
        <v>11</v>
      </c>
      <c r="E20" s="33">
        <f>C20</f>
        <v>0</v>
      </c>
      <c r="F20" s="33">
        <f>C20</f>
        <v>0</v>
      </c>
      <c r="G20" s="77" t="s">
        <v>11</v>
      </c>
      <c r="H20" s="33">
        <f>C20</f>
        <v>0</v>
      </c>
      <c r="I20" s="33"/>
      <c r="L20" s="3" t="s">
        <v>98</v>
      </c>
      <c r="M20" s="3"/>
      <c r="N20" s="84">
        <v>818834</v>
      </c>
      <c r="P20" s="3" t="s">
        <v>4</v>
      </c>
      <c r="Q20" s="31">
        <f>C12</f>
        <v>0.72096999767379844</v>
      </c>
      <c r="R20" s="33">
        <f>(C26-C26)+(C40-C40)+(C54-C54)</f>
        <v>0</v>
      </c>
      <c r="S20" s="80">
        <v>0</v>
      </c>
    </row>
    <row r="21" spans="2:19" x14ac:dyDescent="0.35">
      <c r="B21" s="3" t="s">
        <v>33</v>
      </c>
      <c r="C21" s="33"/>
      <c r="D21" s="33">
        <f>C21</f>
        <v>0</v>
      </c>
      <c r="E21" s="77">
        <f>(7.5*N20)*-1</f>
        <v>-6141255</v>
      </c>
      <c r="F21" s="33"/>
      <c r="G21" s="33"/>
      <c r="H21" s="77">
        <f>(4.5*N20)*-1</f>
        <v>-3684753</v>
      </c>
      <c r="I21" s="77">
        <f>(5.5*N20)*-1</f>
        <v>-4503587</v>
      </c>
      <c r="L21" s="3"/>
      <c r="M21" s="3"/>
      <c r="N21" s="3"/>
      <c r="P21" s="3" t="s">
        <v>65</v>
      </c>
      <c r="Q21" s="31">
        <f>D12</f>
        <v>0.73603598236625756</v>
      </c>
      <c r="R21" s="33">
        <f>D26+D40-(C54-D54)</f>
        <v>-1973120.2000000002</v>
      </c>
      <c r="S21" s="33">
        <f>D68</f>
        <v>229956</v>
      </c>
    </row>
    <row r="22" spans="2:19" x14ac:dyDescent="0.35">
      <c r="B22" s="3" t="s">
        <v>14</v>
      </c>
      <c r="C22" s="33"/>
      <c r="D22" s="77">
        <f>(1.2*N20)*-1</f>
        <v>-982600.79999999993</v>
      </c>
      <c r="E22" s="33">
        <f>C22</f>
        <v>0</v>
      </c>
      <c r="F22" s="33">
        <f>C22</f>
        <v>0</v>
      </c>
      <c r="G22" s="77">
        <f>(3.3*N20)*-1</f>
        <v>-2702152.1999999997</v>
      </c>
      <c r="H22" s="33">
        <f>C22</f>
        <v>0</v>
      </c>
      <c r="I22" s="33"/>
      <c r="L22" s="3"/>
      <c r="M22" s="3"/>
      <c r="N22" s="3"/>
      <c r="P22" s="3" t="s">
        <v>66</v>
      </c>
      <c r="Q22" s="31">
        <f>E12</f>
        <v>0.71223398450289199</v>
      </c>
      <c r="R22" s="33">
        <f>E26+E40-(C54-E54)</f>
        <v>-8605994.4400000013</v>
      </c>
      <c r="S22" s="33">
        <f>E68</f>
        <v>2008090</v>
      </c>
    </row>
    <row r="23" spans="2:19" x14ac:dyDescent="0.35">
      <c r="B23" s="3" t="s">
        <v>16</v>
      </c>
      <c r="C23" s="33"/>
      <c r="D23" s="33">
        <f>C23</f>
        <v>0</v>
      </c>
      <c r="E23" s="78" t="s">
        <v>9</v>
      </c>
      <c r="F23" s="77">
        <f>(3.1*N20)*-1</f>
        <v>-2538385.4</v>
      </c>
      <c r="G23" s="78" t="s">
        <v>11</v>
      </c>
      <c r="H23" s="33">
        <f>C23</f>
        <v>0</v>
      </c>
      <c r="I23" s="33"/>
      <c r="L23" s="86" t="s">
        <v>103</v>
      </c>
      <c r="M23" s="3"/>
      <c r="N23" s="3"/>
      <c r="P23" s="3" t="s">
        <v>5</v>
      </c>
      <c r="Q23" s="31">
        <f>F12</f>
        <v>0.83206307977736549</v>
      </c>
      <c r="R23" s="33">
        <f>F26+F40-(C54-F54)</f>
        <v>-2464586.2000000007</v>
      </c>
      <c r="S23" s="33">
        <f>F68</f>
        <v>339727.09756097558</v>
      </c>
    </row>
    <row r="24" spans="2:19" x14ac:dyDescent="0.35">
      <c r="B24" s="3" t="s">
        <v>18</v>
      </c>
      <c r="C24" s="33"/>
      <c r="D24" s="33">
        <f>C24</f>
        <v>0</v>
      </c>
      <c r="E24" s="78" t="s">
        <v>9</v>
      </c>
      <c r="F24" s="78" t="s">
        <v>19</v>
      </c>
      <c r="G24" s="79"/>
      <c r="H24" s="79"/>
      <c r="I24" s="78" t="s">
        <v>9</v>
      </c>
      <c r="P24" s="3" t="s">
        <v>6</v>
      </c>
      <c r="Q24" s="31">
        <f>G12</f>
        <v>0.69959043250327657</v>
      </c>
      <c r="R24" s="33">
        <f>G26+G40-(C54-G54)</f>
        <v>-3712246.1999999997</v>
      </c>
      <c r="S24" s="33">
        <f>G68</f>
        <v>913895</v>
      </c>
    </row>
    <row r="25" spans="2:19" x14ac:dyDescent="0.35">
      <c r="B25" s="3"/>
      <c r="C25" s="4"/>
      <c r="D25" s="4"/>
      <c r="E25" s="4"/>
      <c r="F25" s="4"/>
      <c r="G25" s="4"/>
      <c r="H25" s="4"/>
      <c r="I25" s="4"/>
      <c r="P25" s="3" t="s">
        <v>7</v>
      </c>
      <c r="Q25" s="31">
        <f>H12</f>
        <v>0.69163152967609054</v>
      </c>
      <c r="R25" s="33">
        <f>H26+H40-(C54-H54)</f>
        <v>-3925405.8000000007</v>
      </c>
      <c r="S25" s="33">
        <f>H68</f>
        <v>666710</v>
      </c>
    </row>
    <row r="26" spans="2:19" x14ac:dyDescent="0.35">
      <c r="B26" s="3" t="s">
        <v>34</v>
      </c>
      <c r="C26" s="14">
        <f>SUM(C19:C24)</f>
        <v>0</v>
      </c>
      <c r="D26" s="14">
        <f t="shared" ref="D26:G26" si="0">SUM(D19:D24)</f>
        <v>-982600.79999999993</v>
      </c>
      <c r="E26" s="14">
        <f t="shared" si="0"/>
        <v>-6141255</v>
      </c>
      <c r="F26" s="14">
        <f t="shared" si="0"/>
        <v>-2538385.4</v>
      </c>
      <c r="G26" s="14">
        <f t="shared" si="0"/>
        <v>-2702152.1999999997</v>
      </c>
      <c r="H26" s="14">
        <f>SUM(H19:H24)</f>
        <v>-3684753</v>
      </c>
      <c r="I26" s="14">
        <f>SUM(I19:I24)</f>
        <v>-4503587</v>
      </c>
      <c r="P26" s="3" t="s">
        <v>63</v>
      </c>
      <c r="Q26" s="31">
        <f>I12</f>
        <v>0.75602040816326521</v>
      </c>
      <c r="R26" s="33">
        <f>I26+I40-(C54-I54)</f>
        <v>-5229533.0000000009</v>
      </c>
      <c r="S26" s="33">
        <f>I68</f>
        <v>1145767</v>
      </c>
    </row>
    <row r="27" spans="2:19" x14ac:dyDescent="0.35">
      <c r="C27" s="20" t="s">
        <v>22</v>
      </c>
      <c r="D27" s="20" t="s">
        <v>22</v>
      </c>
      <c r="E27" s="20" t="s">
        <v>23</v>
      </c>
      <c r="F27" s="20" t="s">
        <v>22</v>
      </c>
      <c r="G27" s="20" t="s">
        <v>22</v>
      </c>
      <c r="H27" s="20" t="s">
        <v>24</v>
      </c>
      <c r="I27" s="20" t="s">
        <v>24</v>
      </c>
      <c r="P27" s="3" t="s">
        <v>67</v>
      </c>
      <c r="Q27" s="31">
        <f>(D12+E12)/2</f>
        <v>0.72413498343457472</v>
      </c>
      <c r="R27" s="33">
        <f>R21+R22</f>
        <v>-10579114.640000001</v>
      </c>
      <c r="S27" s="33">
        <f>S21+S22</f>
        <v>2238046</v>
      </c>
    </row>
    <row r="28" spans="2:19" x14ac:dyDescent="0.35">
      <c r="F28" s="3"/>
      <c r="G28" s="20" t="s">
        <v>26</v>
      </c>
      <c r="P28" s="3" t="s">
        <v>68</v>
      </c>
      <c r="Q28" s="31">
        <f>(D12+F12)/2</f>
        <v>0.78404953107181152</v>
      </c>
      <c r="R28" s="33">
        <f>R21+R23</f>
        <v>-4437706.4000000004</v>
      </c>
      <c r="S28" s="33">
        <f>S21+S23</f>
        <v>569683.09756097558</v>
      </c>
    </row>
    <row r="29" spans="2:19" x14ac:dyDescent="0.35">
      <c r="B29" s="26"/>
      <c r="L29" s="99"/>
      <c r="M29" s="99"/>
      <c r="N29" s="99"/>
      <c r="P29" s="3" t="s">
        <v>69</v>
      </c>
      <c r="Q29" s="31">
        <f>(D12+H12)/2</f>
        <v>0.71383375602117405</v>
      </c>
      <c r="R29" s="33">
        <f>R21+R25</f>
        <v>-5898526.0000000009</v>
      </c>
      <c r="S29" s="33">
        <f>S21+S25</f>
        <v>896666</v>
      </c>
    </row>
    <row r="30" spans="2:19" x14ac:dyDescent="0.35">
      <c r="L30" t="s">
        <v>105</v>
      </c>
      <c r="P30" s="3" t="s">
        <v>73</v>
      </c>
      <c r="Q30" s="31">
        <f>(D12+I12)/2</f>
        <v>0.74602819526476138</v>
      </c>
      <c r="R30" s="33">
        <f>R21+R26</f>
        <v>-7202653.2000000011</v>
      </c>
      <c r="S30" s="33">
        <f>S21+S26</f>
        <v>1375723</v>
      </c>
    </row>
    <row r="31" spans="2:19" x14ac:dyDescent="0.35">
      <c r="B31" s="1" t="s">
        <v>35</v>
      </c>
      <c r="C31" s="1" t="s">
        <v>4</v>
      </c>
      <c r="D31" s="1" t="s">
        <v>65</v>
      </c>
      <c r="E31" s="1" t="s">
        <v>66</v>
      </c>
      <c r="F31" s="1" t="s">
        <v>5</v>
      </c>
      <c r="G31" s="1" t="s">
        <v>6</v>
      </c>
      <c r="H31" s="1" t="s">
        <v>7</v>
      </c>
      <c r="I31" s="1" t="s">
        <v>63</v>
      </c>
      <c r="P31" s="3" t="s">
        <v>70</v>
      </c>
      <c r="Q31" s="31">
        <f>(D12+F12+H12)/3</f>
        <v>0.75324353060657112</v>
      </c>
      <c r="R31" s="33">
        <f>R21+R23+R25</f>
        <v>-8363112.2000000011</v>
      </c>
      <c r="S31" s="33">
        <f>S21+S23+S25</f>
        <v>1236393.0975609757</v>
      </c>
    </row>
    <row r="32" spans="2:19" x14ac:dyDescent="0.35">
      <c r="B32" s="3" t="s">
        <v>36</v>
      </c>
      <c r="C32" s="3"/>
      <c r="D32" s="3"/>
      <c r="E32" s="3"/>
      <c r="F32" s="3"/>
      <c r="G32" s="3"/>
      <c r="H32" s="3"/>
      <c r="I32" s="3"/>
      <c r="P32" s="3" t="s">
        <v>72</v>
      </c>
      <c r="Q32" s="81">
        <f>(G12+I12)/2</f>
        <v>0.72780542033327089</v>
      </c>
      <c r="R32" s="33">
        <f>R24+R26</f>
        <v>-8941779.2000000011</v>
      </c>
      <c r="S32" s="33">
        <f>S24+S26</f>
        <v>2059662</v>
      </c>
    </row>
    <row r="33" spans="2:16" x14ac:dyDescent="0.35">
      <c r="B33" s="3" t="s">
        <v>8</v>
      </c>
      <c r="C33" s="27"/>
      <c r="D33" s="33">
        <f>C33</f>
        <v>0</v>
      </c>
      <c r="E33" s="78" t="s">
        <v>9</v>
      </c>
      <c r="F33" s="79"/>
      <c r="G33" s="33">
        <f>C33</f>
        <v>0</v>
      </c>
      <c r="H33" s="78" t="s">
        <v>9</v>
      </c>
      <c r="I33" s="78" t="s">
        <v>9</v>
      </c>
      <c r="L33" t="s">
        <v>65</v>
      </c>
      <c r="M33" s="16">
        <f>D26+D40</f>
        <v>-1561267.7999999998</v>
      </c>
    </row>
    <row r="34" spans="2:16" x14ac:dyDescent="0.35">
      <c r="B34" s="3" t="s">
        <v>10</v>
      </c>
      <c r="C34" s="27"/>
      <c r="D34" s="78" t="s">
        <v>11</v>
      </c>
      <c r="E34" s="33">
        <f>C34</f>
        <v>0</v>
      </c>
      <c r="F34" s="33">
        <f>C34</f>
        <v>0</v>
      </c>
      <c r="G34" s="78" t="s">
        <v>11</v>
      </c>
      <c r="H34" s="33">
        <f>C34</f>
        <v>0</v>
      </c>
      <c r="I34" s="33"/>
      <c r="L34" t="s">
        <v>66</v>
      </c>
      <c r="M34" s="16">
        <f>E26+E40</f>
        <v>-7298589</v>
      </c>
      <c r="P34" s="26"/>
    </row>
    <row r="35" spans="2:16" x14ac:dyDescent="0.35">
      <c r="B35" s="3" t="s">
        <v>33</v>
      </c>
      <c r="C35" s="27"/>
      <c r="D35" s="33">
        <f>C35</f>
        <v>0</v>
      </c>
      <c r="E35" s="77">
        <f>(1*N18)*-1</f>
        <v>-1157334</v>
      </c>
      <c r="F35" s="33"/>
      <c r="G35" s="33"/>
      <c r="H35" s="77">
        <f>(0*N18)*-1</f>
        <v>0</v>
      </c>
      <c r="I35" s="77">
        <f>(0.5*N18)*-1</f>
        <v>-578667</v>
      </c>
      <c r="L35" t="s">
        <v>5</v>
      </c>
      <c r="M35" s="16">
        <f>F26+F40</f>
        <v>-3117052.4</v>
      </c>
    </row>
    <row r="36" spans="2:16" x14ac:dyDescent="0.35">
      <c r="B36" s="3" t="s">
        <v>14</v>
      </c>
      <c r="C36" s="27"/>
      <c r="D36" s="77">
        <f>(0.5*N18)*-1</f>
        <v>-578667</v>
      </c>
      <c r="E36" s="33">
        <f>C36</f>
        <v>0</v>
      </c>
      <c r="F36" s="33">
        <f>C36</f>
        <v>0</v>
      </c>
      <c r="G36" s="77">
        <f>(1*N18)*-1</f>
        <v>-1157334</v>
      </c>
      <c r="H36" s="33">
        <f>C36</f>
        <v>0</v>
      </c>
      <c r="I36" s="33"/>
      <c r="L36" t="s">
        <v>6</v>
      </c>
      <c r="M36" s="16">
        <f>G26+G40</f>
        <v>-3859486.1999999997</v>
      </c>
    </row>
    <row r="37" spans="2:16" x14ac:dyDescent="0.35">
      <c r="B37" s="3" t="s">
        <v>16</v>
      </c>
      <c r="C37" s="27"/>
      <c r="D37" s="33">
        <f>C37</f>
        <v>0</v>
      </c>
      <c r="E37" s="78" t="s">
        <v>9</v>
      </c>
      <c r="F37" s="77">
        <f>(0.5*N18)*-1</f>
        <v>-578667</v>
      </c>
      <c r="G37" s="78" t="s">
        <v>11</v>
      </c>
      <c r="H37" s="33">
        <f>C37</f>
        <v>0</v>
      </c>
      <c r="I37" s="33"/>
      <c r="L37" t="s">
        <v>7</v>
      </c>
      <c r="M37" s="16">
        <f>H26+H40</f>
        <v>-3684753</v>
      </c>
    </row>
    <row r="38" spans="2:16" x14ac:dyDescent="0.35">
      <c r="B38" s="3" t="s">
        <v>18</v>
      </c>
      <c r="C38" s="27"/>
      <c r="D38" s="33">
        <f>C38</f>
        <v>0</v>
      </c>
      <c r="E38" s="78" t="s">
        <v>9</v>
      </c>
      <c r="F38" s="78" t="s">
        <v>19</v>
      </c>
      <c r="G38" s="79"/>
      <c r="H38" s="79"/>
      <c r="I38" s="78" t="s">
        <v>9</v>
      </c>
      <c r="L38" t="s">
        <v>63</v>
      </c>
      <c r="M38" s="16">
        <f>I26+I40</f>
        <v>-5082254</v>
      </c>
    </row>
    <row r="39" spans="2:16" x14ac:dyDescent="0.35">
      <c r="B39" s="3"/>
      <c r="C39" s="4"/>
      <c r="D39" s="4"/>
      <c r="E39" s="4"/>
      <c r="F39" s="4"/>
      <c r="G39" s="4"/>
      <c r="H39" s="4"/>
      <c r="I39" s="4"/>
    </row>
    <row r="40" spans="2:16" x14ac:dyDescent="0.35">
      <c r="B40" s="3" t="s">
        <v>34</v>
      </c>
      <c r="C40" s="14">
        <f>SUM(C33:C38)</f>
        <v>0</v>
      </c>
      <c r="D40" s="14">
        <f t="shared" ref="D40:I40" si="1">SUM(D33:D38)</f>
        <v>-578667</v>
      </c>
      <c r="E40" s="14">
        <f t="shared" si="1"/>
        <v>-1157334</v>
      </c>
      <c r="F40" s="14">
        <f t="shared" si="1"/>
        <v>-578667</v>
      </c>
      <c r="G40" s="14">
        <f t="shared" si="1"/>
        <v>-1157334</v>
      </c>
      <c r="H40" s="14">
        <f t="shared" si="1"/>
        <v>0</v>
      </c>
      <c r="I40" s="14">
        <f t="shared" si="1"/>
        <v>-578667</v>
      </c>
    </row>
    <row r="41" spans="2:16" x14ac:dyDescent="0.35">
      <c r="C41" s="20" t="s">
        <v>22</v>
      </c>
      <c r="D41" s="20" t="s">
        <v>22</v>
      </c>
      <c r="E41" s="20" t="s">
        <v>23</v>
      </c>
      <c r="F41" s="20" t="s">
        <v>22</v>
      </c>
      <c r="G41" s="20" t="s">
        <v>22</v>
      </c>
      <c r="H41" s="20" t="s">
        <v>24</v>
      </c>
      <c r="I41" s="20" t="s">
        <v>24</v>
      </c>
    </row>
    <row r="42" spans="2:16" x14ac:dyDescent="0.35">
      <c r="F42" s="3"/>
      <c r="G42" s="20" t="s">
        <v>26</v>
      </c>
    </row>
    <row r="43" spans="2:16" x14ac:dyDescent="0.35">
      <c r="B43" s="26"/>
      <c r="L43" s="99"/>
      <c r="M43" s="99"/>
      <c r="N43" s="99"/>
    </row>
    <row r="45" spans="2:16" x14ac:dyDescent="0.35">
      <c r="B45" s="1" t="s">
        <v>37</v>
      </c>
      <c r="C45" s="1" t="s">
        <v>4</v>
      </c>
      <c r="D45" s="1" t="s">
        <v>65</v>
      </c>
      <c r="E45" s="1" t="s">
        <v>66</v>
      </c>
      <c r="F45" s="1" t="s">
        <v>5</v>
      </c>
      <c r="G45" s="1" t="s">
        <v>6</v>
      </c>
      <c r="H45" s="1" t="s">
        <v>7</v>
      </c>
      <c r="I45" s="1" t="s">
        <v>63</v>
      </c>
      <c r="L45" t="s">
        <v>104</v>
      </c>
    </row>
    <row r="46" spans="2:16" x14ac:dyDescent="0.35">
      <c r="B46" s="3" t="s">
        <v>101</v>
      </c>
      <c r="C46" s="3"/>
      <c r="D46" s="3"/>
      <c r="E46" s="3"/>
      <c r="F46" s="3"/>
      <c r="G46" s="3"/>
      <c r="H46" s="3"/>
      <c r="I46" s="3"/>
      <c r="O46" t="s">
        <v>106</v>
      </c>
    </row>
    <row r="47" spans="2:16" x14ac:dyDescent="0.35">
      <c r="B47" s="3" t="s">
        <v>8</v>
      </c>
      <c r="C47" s="33">
        <v>1398808</v>
      </c>
      <c r="D47" s="33">
        <f>C47</f>
        <v>1398808</v>
      </c>
      <c r="E47" s="78" t="s">
        <v>9</v>
      </c>
      <c r="F47" s="79">
        <f>C47</f>
        <v>1398808</v>
      </c>
      <c r="G47" s="33">
        <f>C47</f>
        <v>1398808</v>
      </c>
      <c r="H47" s="77" t="s">
        <v>9</v>
      </c>
      <c r="I47" s="77" t="s">
        <v>9</v>
      </c>
      <c r="L47" t="s">
        <v>65</v>
      </c>
      <c r="M47" s="16">
        <f>C54-D54</f>
        <v>411852.40000000037</v>
      </c>
    </row>
    <row r="48" spans="2:16" x14ac:dyDescent="0.35">
      <c r="B48" s="3" t="s">
        <v>10</v>
      </c>
      <c r="C48" s="33">
        <v>575328</v>
      </c>
      <c r="D48" s="78" t="s">
        <v>11</v>
      </c>
      <c r="E48" s="33">
        <f>C48</f>
        <v>575328</v>
      </c>
      <c r="F48" s="33">
        <f>C48</f>
        <v>575328</v>
      </c>
      <c r="G48" s="78" t="s">
        <v>11</v>
      </c>
      <c r="H48" s="33">
        <f>C48</f>
        <v>575328</v>
      </c>
      <c r="I48" s="33">
        <f>C48</f>
        <v>575328</v>
      </c>
      <c r="L48" t="s">
        <v>66</v>
      </c>
      <c r="M48" s="16">
        <f>C54-E54</f>
        <v>1307405.4400000004</v>
      </c>
      <c r="O48">
        <v>49380</v>
      </c>
    </row>
    <row r="49" spans="2:15" x14ac:dyDescent="0.35">
      <c r="B49" s="3" t="s">
        <v>33</v>
      </c>
      <c r="C49" s="33">
        <v>1930070</v>
      </c>
      <c r="D49" s="33">
        <f>C49</f>
        <v>1930070</v>
      </c>
      <c r="E49" s="77">
        <f>(O8+O3+O10+O11)*O52</f>
        <v>4442417.5599999996</v>
      </c>
      <c r="F49" s="33">
        <f>C49</f>
        <v>1930070</v>
      </c>
      <c r="G49" s="33">
        <f>C49</f>
        <v>1930070</v>
      </c>
      <c r="H49" s="77">
        <f>(O8+O3)*O48</f>
        <v>3088225.1999999997</v>
      </c>
      <c r="I49" s="77">
        <f>(O8+O3+O11)*O48</f>
        <v>4305935.9999999991</v>
      </c>
      <c r="L49" t="s">
        <v>5</v>
      </c>
      <c r="M49" s="16">
        <f>C54-F54</f>
        <v>-652466.19999999925</v>
      </c>
    </row>
    <row r="50" spans="2:15" x14ac:dyDescent="0.35">
      <c r="B50" s="3" t="s">
        <v>14</v>
      </c>
      <c r="C50" s="33">
        <v>1395451</v>
      </c>
      <c r="D50" s="77">
        <f>(O9+O4)*O48</f>
        <v>1558926.6</v>
      </c>
      <c r="E50" s="33">
        <f>C50</f>
        <v>1395451</v>
      </c>
      <c r="F50" s="33">
        <f>C50</f>
        <v>1395451</v>
      </c>
      <c r="G50" s="77">
        <f>(O4+O9+O10)*O48</f>
        <v>3414627.0000000005</v>
      </c>
      <c r="H50" s="33">
        <f>C50</f>
        <v>1395451</v>
      </c>
      <c r="I50" s="33">
        <f>C50</f>
        <v>1395451</v>
      </c>
      <c r="L50" t="s">
        <v>6</v>
      </c>
      <c r="M50" s="16">
        <f>C54-G54</f>
        <v>-147240</v>
      </c>
      <c r="O50" t="s">
        <v>107</v>
      </c>
    </row>
    <row r="51" spans="2:15" x14ac:dyDescent="0.35">
      <c r="B51" s="3" t="s">
        <v>16</v>
      </c>
      <c r="C51" s="33">
        <v>1296608</v>
      </c>
      <c r="D51" s="33">
        <f>C51</f>
        <v>1296608</v>
      </c>
      <c r="E51" s="78" t="s">
        <v>9</v>
      </c>
      <c r="F51" s="77">
        <f>(O10+O11)*O48</f>
        <v>3073411.1999999997</v>
      </c>
      <c r="G51" s="78" t="s">
        <v>11</v>
      </c>
      <c r="H51" s="33">
        <f>C51</f>
        <v>1296608</v>
      </c>
      <c r="I51" s="33">
        <f>C51</f>
        <v>1296608</v>
      </c>
      <c r="L51" t="s">
        <v>7</v>
      </c>
      <c r="M51" s="16">
        <f>C54-H54</f>
        <v>240652.80000000075</v>
      </c>
    </row>
    <row r="52" spans="2:15" x14ac:dyDescent="0.35">
      <c r="B52" s="3" t="s">
        <v>18</v>
      </c>
      <c r="C52" s="33">
        <v>1124337</v>
      </c>
      <c r="D52" s="33">
        <f>C52</f>
        <v>1124337</v>
      </c>
      <c r="E52" s="78" t="s">
        <v>9</v>
      </c>
      <c r="F52" s="78" t="s">
        <v>19</v>
      </c>
      <c r="G52" s="79">
        <f>C52</f>
        <v>1124337</v>
      </c>
      <c r="H52" s="79">
        <f>C52</f>
        <v>1124337</v>
      </c>
      <c r="I52" s="78" t="s">
        <v>9</v>
      </c>
      <c r="L52" t="s">
        <v>63</v>
      </c>
      <c r="M52" s="16">
        <f>C54-I54</f>
        <v>147279.00000000093</v>
      </c>
      <c r="O52">
        <v>35602</v>
      </c>
    </row>
    <row r="53" spans="2:15" x14ac:dyDescent="0.35">
      <c r="B53" s="3"/>
      <c r="C53" s="4"/>
      <c r="D53" s="4"/>
      <c r="E53" s="4"/>
      <c r="F53" s="4"/>
      <c r="G53" s="4"/>
      <c r="H53" s="3"/>
      <c r="I53" s="3"/>
    </row>
    <row r="54" spans="2:15" x14ac:dyDescent="0.35">
      <c r="B54" s="3" t="s">
        <v>34</v>
      </c>
      <c r="C54" s="14">
        <f>SUM(C47:C52)</f>
        <v>7720602</v>
      </c>
      <c r="D54" s="14">
        <f t="shared" ref="D54:I54" si="2">SUM(D47:D52)</f>
        <v>7308749.5999999996</v>
      </c>
      <c r="E54" s="14">
        <f t="shared" si="2"/>
        <v>6413196.5599999996</v>
      </c>
      <c r="F54" s="14">
        <f t="shared" si="2"/>
        <v>8373068.1999999993</v>
      </c>
      <c r="G54" s="14">
        <f t="shared" si="2"/>
        <v>7867842</v>
      </c>
      <c r="H54" s="14">
        <f t="shared" si="2"/>
        <v>7479949.1999999993</v>
      </c>
      <c r="I54" s="14">
        <f t="shared" si="2"/>
        <v>7573322.9999999991</v>
      </c>
    </row>
    <row r="55" spans="2:15" x14ac:dyDescent="0.35">
      <c r="C55" s="20" t="s">
        <v>22</v>
      </c>
      <c r="D55" s="20" t="s">
        <v>22</v>
      </c>
      <c r="E55" s="20" t="s">
        <v>23</v>
      </c>
      <c r="F55" s="20" t="s">
        <v>22</v>
      </c>
      <c r="G55" s="20" t="s">
        <v>22</v>
      </c>
      <c r="H55" s="20" t="s">
        <v>24</v>
      </c>
      <c r="I55" s="20" t="s">
        <v>24</v>
      </c>
    </row>
    <row r="56" spans="2:15" x14ac:dyDescent="0.35">
      <c r="F56" s="3"/>
      <c r="G56" s="20" t="s">
        <v>26</v>
      </c>
    </row>
    <row r="57" spans="2:15" x14ac:dyDescent="0.35">
      <c r="B57" s="26"/>
    </row>
    <row r="58" spans="2:15" x14ac:dyDescent="0.35">
      <c r="M58" s="16"/>
    </row>
    <row r="59" spans="2:15" x14ac:dyDescent="0.35">
      <c r="B59" s="1" t="s">
        <v>114</v>
      </c>
      <c r="C59" s="1" t="s">
        <v>4</v>
      </c>
      <c r="D59" s="1" t="s">
        <v>65</v>
      </c>
      <c r="E59" s="1" t="s">
        <v>66</v>
      </c>
      <c r="F59" s="1" t="s">
        <v>5</v>
      </c>
      <c r="G59" s="1" t="s">
        <v>6</v>
      </c>
      <c r="H59" s="1" t="s">
        <v>7</v>
      </c>
      <c r="I59" s="1" t="s">
        <v>63</v>
      </c>
      <c r="M59" s="16"/>
    </row>
    <row r="60" spans="2:15" x14ac:dyDescent="0.35">
      <c r="B60" s="3"/>
      <c r="C60" s="3"/>
      <c r="D60" s="3"/>
      <c r="E60" s="3"/>
      <c r="F60" s="3"/>
      <c r="G60" s="3"/>
      <c r="H60" s="3"/>
      <c r="I60" s="3"/>
      <c r="M60" s="16"/>
    </row>
    <row r="61" spans="2:15" x14ac:dyDescent="0.35">
      <c r="B61" s="3" t="s">
        <v>8</v>
      </c>
      <c r="C61" s="27"/>
      <c r="D61" s="27"/>
      <c r="E61" s="82">
        <v>784320</v>
      </c>
      <c r="F61" s="27"/>
      <c r="G61" s="27"/>
      <c r="H61" s="82">
        <f>E61</f>
        <v>784320</v>
      </c>
      <c r="I61" s="82">
        <f>E61</f>
        <v>784320</v>
      </c>
      <c r="M61" s="16"/>
    </row>
    <row r="62" spans="2:15" x14ac:dyDescent="0.35">
      <c r="B62" s="3" t="s">
        <v>10</v>
      </c>
      <c r="C62" s="27"/>
      <c r="D62" s="82">
        <v>258400</v>
      </c>
      <c r="E62" s="33"/>
      <c r="F62" s="27"/>
      <c r="G62" s="82">
        <f>D62</f>
        <v>258400</v>
      </c>
      <c r="H62" s="29"/>
      <c r="I62" s="29"/>
    </row>
    <row r="63" spans="2:15" x14ac:dyDescent="0.35">
      <c r="B63" s="3" t="s">
        <v>33</v>
      </c>
      <c r="C63" s="27"/>
      <c r="D63" s="27"/>
      <c r="E63" s="77"/>
      <c r="F63" s="27"/>
      <c r="G63" s="27"/>
      <c r="H63" s="83"/>
      <c r="I63" s="83"/>
    </row>
    <row r="64" spans="2:15" x14ac:dyDescent="0.35">
      <c r="B64" s="3" t="s">
        <v>14</v>
      </c>
      <c r="C64" s="27"/>
      <c r="D64" s="28"/>
      <c r="E64" s="33"/>
      <c r="F64" s="27"/>
      <c r="G64" s="28"/>
      <c r="H64" s="29"/>
      <c r="I64" s="29"/>
    </row>
    <row r="65" spans="2:9" x14ac:dyDescent="0.35">
      <c r="B65" s="3" t="s">
        <v>16</v>
      </c>
      <c r="C65" s="27"/>
      <c r="D65" s="27"/>
      <c r="E65" s="82">
        <v>919220</v>
      </c>
      <c r="F65" s="28"/>
      <c r="G65" s="88">
        <v>585200</v>
      </c>
      <c r="H65" s="29"/>
      <c r="I65" s="29"/>
    </row>
    <row r="66" spans="2:9" x14ac:dyDescent="0.35">
      <c r="B66" s="3" t="s">
        <v>18</v>
      </c>
      <c r="C66" s="27"/>
      <c r="D66" s="27"/>
      <c r="E66" s="82">
        <v>537320</v>
      </c>
      <c r="F66" s="88">
        <v>367460</v>
      </c>
      <c r="G66" s="27"/>
      <c r="H66" s="27"/>
      <c r="I66" s="82">
        <f>E66</f>
        <v>537320</v>
      </c>
    </row>
    <row r="67" spans="2:9" x14ac:dyDescent="0.35">
      <c r="B67" s="3" t="s">
        <v>132</v>
      </c>
      <c r="C67" s="14"/>
      <c r="D67" s="96">
        <f>D91</f>
        <v>-28444</v>
      </c>
      <c r="E67" s="96">
        <f>D92</f>
        <v>-232770</v>
      </c>
      <c r="F67" s="96">
        <f>D93</f>
        <v>-27732.902439024387</v>
      </c>
      <c r="G67" s="96">
        <f>D94</f>
        <v>70295</v>
      </c>
      <c r="H67" s="96">
        <f>D95</f>
        <v>-117610</v>
      </c>
      <c r="I67" s="96">
        <f>D96</f>
        <v>-175873</v>
      </c>
    </row>
    <row r="68" spans="2:9" x14ac:dyDescent="0.35">
      <c r="B68" s="3" t="s">
        <v>34</v>
      </c>
      <c r="C68" s="14">
        <f>SUM(C61:C66)</f>
        <v>0</v>
      </c>
      <c r="D68" s="14">
        <f>SUM(D61:D67)</f>
        <v>229956</v>
      </c>
      <c r="E68" s="14">
        <f t="shared" ref="E68:I68" si="3">SUM(E61:E67)</f>
        <v>2008090</v>
      </c>
      <c r="F68" s="14">
        <f t="shared" si="3"/>
        <v>339727.09756097558</v>
      </c>
      <c r="G68" s="14">
        <f t="shared" si="3"/>
        <v>913895</v>
      </c>
      <c r="H68" s="14">
        <f t="shared" si="3"/>
        <v>666710</v>
      </c>
      <c r="I68" s="14">
        <f t="shared" si="3"/>
        <v>1145767</v>
      </c>
    </row>
    <row r="70" spans="2:9" x14ac:dyDescent="0.35">
      <c r="B70" s="26"/>
    </row>
    <row r="73" spans="2:9" x14ac:dyDescent="0.35">
      <c r="B73" t="s">
        <v>65</v>
      </c>
      <c r="C73" t="s">
        <v>59</v>
      </c>
    </row>
    <row r="74" spans="2:9" x14ac:dyDescent="0.35">
      <c r="B74" t="s">
        <v>66</v>
      </c>
      <c r="C74" t="s">
        <v>60</v>
      </c>
    </row>
    <row r="75" spans="2:9" x14ac:dyDescent="0.35">
      <c r="B75" t="s">
        <v>5</v>
      </c>
      <c r="C75" t="s">
        <v>61</v>
      </c>
    </row>
    <row r="76" spans="2:9" x14ac:dyDescent="0.35">
      <c r="B76" t="s">
        <v>6</v>
      </c>
      <c r="C76" t="s">
        <v>62</v>
      </c>
    </row>
    <row r="77" spans="2:9" x14ac:dyDescent="0.35">
      <c r="B77" t="s">
        <v>7</v>
      </c>
      <c r="C77" t="s">
        <v>64</v>
      </c>
    </row>
    <row r="78" spans="2:9" x14ac:dyDescent="0.35">
      <c r="B78" t="s">
        <v>63</v>
      </c>
      <c r="C78" t="s">
        <v>71</v>
      </c>
    </row>
    <row r="83" spans="3:13" x14ac:dyDescent="0.35">
      <c r="C83" s="100" t="s">
        <v>115</v>
      </c>
      <c r="D83" s="100"/>
      <c r="E83" s="100"/>
      <c r="F83" s="100"/>
      <c r="G83" s="100"/>
      <c r="H83" s="100"/>
      <c r="I83" s="100"/>
      <c r="J83" s="100"/>
      <c r="K83" s="100"/>
      <c r="L83" s="100"/>
    </row>
    <row r="84" spans="3:13" x14ac:dyDescent="0.35">
      <c r="C84" s="2"/>
      <c r="D84" s="2"/>
      <c r="E84" s="2" t="s">
        <v>116</v>
      </c>
      <c r="F84" s="2" t="s">
        <v>117</v>
      </c>
      <c r="G84" s="2" t="s">
        <v>118</v>
      </c>
      <c r="H84" s="2" t="s">
        <v>119</v>
      </c>
      <c r="I84" s="2" t="s">
        <v>120</v>
      </c>
      <c r="J84" s="2" t="s">
        <v>121</v>
      </c>
      <c r="K84" s="2"/>
      <c r="L84" s="2" t="s">
        <v>21</v>
      </c>
    </row>
    <row r="85" spans="3:13" x14ac:dyDescent="0.35">
      <c r="C85" s="3">
        <v>2023</v>
      </c>
      <c r="D85" s="3"/>
      <c r="E85" s="4">
        <v>85932</v>
      </c>
      <c r="F85" s="4">
        <v>59598</v>
      </c>
      <c r="G85" s="4">
        <v>58012</v>
      </c>
      <c r="H85" s="4">
        <v>107245</v>
      </c>
      <c r="I85" s="4">
        <v>56897</v>
      </c>
      <c r="J85" s="105">
        <v>58263</v>
      </c>
      <c r="K85" s="106"/>
      <c r="L85" s="4">
        <f>SUM(E85:J85)</f>
        <v>425947</v>
      </c>
    </row>
    <row r="86" spans="3:13" x14ac:dyDescent="0.35">
      <c r="C86" s="3" t="s">
        <v>122</v>
      </c>
      <c r="D86" s="3"/>
      <c r="E86" s="3">
        <v>45</v>
      </c>
      <c r="F86" s="3">
        <v>99</v>
      </c>
      <c r="G86" s="3">
        <v>134</v>
      </c>
      <c r="H86" s="3">
        <v>84</v>
      </c>
      <c r="I86" s="3">
        <v>123</v>
      </c>
      <c r="J86" s="107">
        <v>66</v>
      </c>
      <c r="K86" s="108"/>
      <c r="L86" s="3"/>
    </row>
    <row r="87" spans="3:13" x14ac:dyDescent="0.35">
      <c r="C87" s="3" t="s">
        <v>123</v>
      </c>
      <c r="D87" s="3"/>
      <c r="E87" s="5">
        <f>E85/45</f>
        <v>1909.6</v>
      </c>
      <c r="F87" s="5">
        <f>F85/99</f>
        <v>602</v>
      </c>
      <c r="G87" s="5">
        <f>G85/134</f>
        <v>432.92537313432837</v>
      </c>
      <c r="H87" s="5">
        <f>H85/84</f>
        <v>1276.7261904761904</v>
      </c>
      <c r="I87" s="5">
        <f>I85/123</f>
        <v>462.57723577235771</v>
      </c>
      <c r="J87" s="109">
        <f>J85/66</f>
        <v>882.77272727272725</v>
      </c>
      <c r="K87" s="110"/>
      <c r="L87" s="5">
        <f>SUM(E87:J87)/6</f>
        <v>927.76692110926717</v>
      </c>
      <c r="M87" t="s">
        <v>131</v>
      </c>
    </row>
    <row r="90" spans="3:13" x14ac:dyDescent="0.35">
      <c r="C90" s="101" t="s">
        <v>124</v>
      </c>
      <c r="D90" s="101"/>
      <c r="E90" s="101"/>
      <c r="F90" s="101" t="s">
        <v>125</v>
      </c>
      <c r="G90" s="101"/>
      <c r="H90" s="101"/>
      <c r="I90" s="101"/>
      <c r="J90" s="101"/>
      <c r="K90" s="101"/>
      <c r="L90" s="101"/>
    </row>
    <row r="91" spans="3:13" x14ac:dyDescent="0.35">
      <c r="C91" s="3" t="s">
        <v>65</v>
      </c>
      <c r="D91" s="4">
        <f>-1*(E85+H85)+(84+45)*1277</f>
        <v>-28444</v>
      </c>
      <c r="E91" s="3"/>
      <c r="F91" s="102" t="s">
        <v>126</v>
      </c>
      <c r="G91" s="103"/>
      <c r="H91" s="103"/>
      <c r="I91" s="103"/>
      <c r="J91" s="103"/>
      <c r="K91" s="103"/>
      <c r="L91" s="104"/>
    </row>
    <row r="92" spans="3:13" x14ac:dyDescent="0.35">
      <c r="C92" s="3" t="s">
        <v>66</v>
      </c>
      <c r="D92" s="4">
        <f>-1*(F85+G85+I85+J85)</f>
        <v>-232770</v>
      </c>
      <c r="E92" s="3"/>
      <c r="F92" s="102" t="s">
        <v>127</v>
      </c>
      <c r="G92" s="103"/>
      <c r="H92" s="103"/>
      <c r="I92" s="103"/>
      <c r="J92" s="103"/>
      <c r="K92" s="103"/>
      <c r="L92" s="104"/>
    </row>
    <row r="93" spans="3:13" x14ac:dyDescent="0.35">
      <c r="C93" s="3" t="s">
        <v>5</v>
      </c>
      <c r="D93" s="4">
        <f>-1*(I85+J85)+(I85+I87*66)</f>
        <v>-27732.902439024387</v>
      </c>
      <c r="E93" s="3"/>
      <c r="F93" s="102" t="s">
        <v>128</v>
      </c>
      <c r="G93" s="103"/>
      <c r="H93" s="103"/>
      <c r="I93" s="103"/>
      <c r="J93" s="103"/>
      <c r="K93" s="103"/>
      <c r="L93" s="104"/>
    </row>
    <row r="94" spans="3:13" x14ac:dyDescent="0.35">
      <c r="C94" s="3" t="s">
        <v>6</v>
      </c>
      <c r="D94" s="4">
        <f>-1*(E85+H85+J85)+(H85+H87*45)+(H87*123)</f>
        <v>70295</v>
      </c>
      <c r="E94" s="3"/>
      <c r="F94" s="102" t="s">
        <v>129</v>
      </c>
      <c r="G94" s="103"/>
      <c r="H94" s="103"/>
      <c r="I94" s="103"/>
      <c r="J94" s="103"/>
      <c r="K94" s="103"/>
      <c r="L94" s="104"/>
    </row>
    <row r="95" spans="3:13" x14ac:dyDescent="0.35">
      <c r="C95" s="3" t="s">
        <v>7</v>
      </c>
      <c r="D95" s="4">
        <f>-1*(F85+G85)</f>
        <v>-117610</v>
      </c>
      <c r="E95" s="3"/>
      <c r="F95" s="102" t="s">
        <v>127</v>
      </c>
      <c r="G95" s="103"/>
      <c r="H95" s="103"/>
      <c r="I95" s="103"/>
      <c r="J95" s="103"/>
      <c r="K95" s="103"/>
      <c r="L95" s="104"/>
    </row>
    <row r="96" spans="3:13" x14ac:dyDescent="0.35">
      <c r="C96" s="3" t="s">
        <v>63</v>
      </c>
      <c r="D96" s="4">
        <f>-1*(F85+G85+J85)</f>
        <v>-175873</v>
      </c>
      <c r="E96" s="3"/>
      <c r="F96" s="102" t="s">
        <v>127</v>
      </c>
      <c r="G96" s="103"/>
      <c r="H96" s="103"/>
      <c r="I96" s="103"/>
      <c r="J96" s="103"/>
      <c r="K96" s="103"/>
      <c r="L96" s="104"/>
    </row>
    <row r="99" spans="3:3" x14ac:dyDescent="0.35">
      <c r="C99" t="s">
        <v>130</v>
      </c>
    </row>
  </sheetData>
  <mergeCells count="17">
    <mergeCell ref="F93:L93"/>
    <mergeCell ref="F94:L94"/>
    <mergeCell ref="F95:L95"/>
    <mergeCell ref="F96:L96"/>
    <mergeCell ref="J85:K85"/>
    <mergeCell ref="J86:K86"/>
    <mergeCell ref="J87:K87"/>
    <mergeCell ref="C83:L83"/>
    <mergeCell ref="C90:E90"/>
    <mergeCell ref="F90:L90"/>
    <mergeCell ref="F91:L91"/>
    <mergeCell ref="F92:L92"/>
    <mergeCell ref="P18:S18"/>
    <mergeCell ref="L15:N15"/>
    <mergeCell ref="L29:N29"/>
    <mergeCell ref="L43:N43"/>
    <mergeCell ref="L17:N17"/>
  </mergeCells>
  <phoneticPr fontId="3" type="noConversion"/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75"/>
  <sheetViews>
    <sheetView zoomScale="70" zoomScaleNormal="70" workbookViewId="0">
      <selection activeCell="Q49" sqref="Q49"/>
    </sheetView>
  </sheetViews>
  <sheetFormatPr baseColWidth="10" defaultColWidth="11.453125" defaultRowHeight="14.5" x14ac:dyDescent="0.35"/>
  <cols>
    <col min="2" max="2" width="28.81640625" customWidth="1"/>
    <col min="3" max="4" width="15.26953125" customWidth="1"/>
    <col min="5" max="5" width="16" customWidth="1"/>
    <col min="6" max="7" width="15.7265625" customWidth="1"/>
    <col min="8" max="9" width="15.81640625" customWidth="1"/>
    <col min="12" max="12" width="20.1796875" customWidth="1"/>
    <col min="13" max="13" width="15.26953125" customWidth="1"/>
    <col min="14" max="14" width="14.26953125" customWidth="1"/>
    <col min="15" max="15" width="19.1796875" customWidth="1"/>
    <col min="16" max="16" width="26.81640625" bestFit="1" customWidth="1"/>
    <col min="17" max="18" width="14.54296875" customWidth="1"/>
    <col min="19" max="19" width="17" customWidth="1"/>
  </cols>
  <sheetData>
    <row r="2" spans="2:16" ht="29" x14ac:dyDescent="0.35">
      <c r="L2" s="6" t="s">
        <v>0</v>
      </c>
      <c r="M2" s="7" t="s">
        <v>38</v>
      </c>
      <c r="N2" s="17" t="s">
        <v>95</v>
      </c>
    </row>
    <row r="3" spans="2:16" x14ac:dyDescent="0.35">
      <c r="B3" s="1" t="s">
        <v>39</v>
      </c>
      <c r="C3" s="2" t="s">
        <v>4</v>
      </c>
      <c r="D3" s="2" t="s">
        <v>65</v>
      </c>
      <c r="E3" s="2" t="s">
        <v>66</v>
      </c>
      <c r="F3" s="2" t="s">
        <v>5</v>
      </c>
      <c r="G3" s="2" t="s">
        <v>6</v>
      </c>
      <c r="H3" s="2" t="s">
        <v>7</v>
      </c>
      <c r="I3" s="2" t="s">
        <v>63</v>
      </c>
      <c r="L3" s="8" t="s">
        <v>8</v>
      </c>
      <c r="M3" s="72">
        <v>4500</v>
      </c>
      <c r="N3" s="73">
        <v>12498</v>
      </c>
    </row>
    <row r="4" spans="2:16" x14ac:dyDescent="0.35">
      <c r="B4" s="3"/>
      <c r="C4" s="3"/>
      <c r="D4" s="3"/>
      <c r="E4" s="3"/>
      <c r="F4" s="3"/>
      <c r="G4" s="3"/>
      <c r="H4" s="3"/>
      <c r="I4" s="3"/>
      <c r="L4" s="8" t="s">
        <v>10</v>
      </c>
      <c r="M4" s="72">
        <v>1678</v>
      </c>
      <c r="N4" s="73">
        <v>5060</v>
      </c>
    </row>
    <row r="5" spans="2:16" x14ac:dyDescent="0.35">
      <c r="B5" s="3" t="s">
        <v>8</v>
      </c>
      <c r="C5" s="12">
        <f>M3</f>
        <v>4500</v>
      </c>
      <c r="D5" s="12">
        <f>C5</f>
        <v>4500</v>
      </c>
      <c r="E5" s="19" t="s">
        <v>9</v>
      </c>
      <c r="F5" s="22">
        <v>4500</v>
      </c>
      <c r="G5" s="12">
        <f>C5</f>
        <v>4500</v>
      </c>
      <c r="H5" s="19" t="s">
        <v>9</v>
      </c>
      <c r="I5" s="19" t="s">
        <v>54</v>
      </c>
      <c r="L5" s="8" t="s">
        <v>40</v>
      </c>
      <c r="M5" s="72">
        <v>6108</v>
      </c>
      <c r="N5" s="73">
        <v>15700</v>
      </c>
    </row>
    <row r="6" spans="2:16" x14ac:dyDescent="0.35">
      <c r="B6" s="3" t="s">
        <v>10</v>
      </c>
      <c r="C6" s="12">
        <f>M4</f>
        <v>1678</v>
      </c>
      <c r="D6" s="19" t="s">
        <v>11</v>
      </c>
      <c r="E6" s="12">
        <f>C6</f>
        <v>1678</v>
      </c>
      <c r="F6" s="12">
        <f>C6</f>
        <v>1678</v>
      </c>
      <c r="G6" s="19" t="s">
        <v>11</v>
      </c>
      <c r="H6" s="12">
        <f>C6</f>
        <v>1678</v>
      </c>
      <c r="I6" s="12">
        <f>C6</f>
        <v>1678</v>
      </c>
      <c r="L6" s="8" t="s">
        <v>41</v>
      </c>
      <c r="M6" s="72">
        <v>7970</v>
      </c>
      <c r="N6" s="73">
        <v>14150</v>
      </c>
    </row>
    <row r="7" spans="2:16" x14ac:dyDescent="0.35">
      <c r="B7" s="3" t="s">
        <v>33</v>
      </c>
      <c r="C7" s="12">
        <f>M5</f>
        <v>6108</v>
      </c>
      <c r="D7" s="12">
        <v>6108</v>
      </c>
      <c r="E7" s="9">
        <f>M7</f>
        <v>9277</v>
      </c>
      <c r="F7" s="12">
        <v>6108</v>
      </c>
      <c r="G7" s="12">
        <v>6108</v>
      </c>
      <c r="H7" s="9">
        <f>M6</f>
        <v>7970</v>
      </c>
      <c r="I7" s="9">
        <f>M6</f>
        <v>7970</v>
      </c>
      <c r="L7" s="8" t="s">
        <v>42</v>
      </c>
      <c r="M7" s="72">
        <v>9277</v>
      </c>
      <c r="N7" s="73">
        <v>13850</v>
      </c>
    </row>
    <row r="8" spans="2:16" x14ac:dyDescent="0.35">
      <c r="B8" s="3" t="s">
        <v>14</v>
      </c>
      <c r="C8" s="12">
        <f>M9</f>
        <v>4391</v>
      </c>
      <c r="D8" s="9">
        <f>M9</f>
        <v>4391</v>
      </c>
      <c r="E8" s="12">
        <v>4391</v>
      </c>
      <c r="F8" s="12">
        <v>4391</v>
      </c>
      <c r="G8" s="94">
        <f>C8+M6-M5</f>
        <v>6253</v>
      </c>
      <c r="H8" s="12">
        <f>C8</f>
        <v>4391</v>
      </c>
      <c r="I8" s="12">
        <f>C8</f>
        <v>4391</v>
      </c>
      <c r="L8" s="8" t="s">
        <v>20</v>
      </c>
      <c r="M8" s="72">
        <v>2887</v>
      </c>
      <c r="N8" s="73">
        <v>6874</v>
      </c>
    </row>
    <row r="9" spans="2:16" x14ac:dyDescent="0.35">
      <c r="B9" s="3" t="s">
        <v>16</v>
      </c>
      <c r="C9" s="12">
        <f>M10</f>
        <v>2649</v>
      </c>
      <c r="D9" s="12">
        <f>C9</f>
        <v>2649</v>
      </c>
      <c r="E9" s="19" t="s">
        <v>9</v>
      </c>
      <c r="F9" s="9">
        <f>C9</f>
        <v>2649</v>
      </c>
      <c r="G9" s="19" t="s">
        <v>11</v>
      </c>
      <c r="H9" s="12">
        <f>C9</f>
        <v>2649</v>
      </c>
      <c r="I9" s="12">
        <f>C9</f>
        <v>2649</v>
      </c>
      <c r="L9" s="8" t="s">
        <v>14</v>
      </c>
      <c r="M9" s="72">
        <v>4391</v>
      </c>
      <c r="N9" s="73">
        <v>9790</v>
      </c>
    </row>
    <row r="10" spans="2:16" x14ac:dyDescent="0.35">
      <c r="B10" s="3" t="s">
        <v>18</v>
      </c>
      <c r="C10" s="12">
        <f>M11</f>
        <v>1834</v>
      </c>
      <c r="D10" s="12">
        <f>C10</f>
        <v>1834</v>
      </c>
      <c r="E10" s="19" t="s">
        <v>9</v>
      </c>
      <c r="F10" s="19" t="s">
        <v>19</v>
      </c>
      <c r="G10" s="22">
        <v>1834</v>
      </c>
      <c r="H10" s="22">
        <v>1834</v>
      </c>
      <c r="I10" s="32" t="s">
        <v>54</v>
      </c>
      <c r="L10" s="8" t="s">
        <v>25</v>
      </c>
      <c r="M10" s="72">
        <v>2649</v>
      </c>
      <c r="N10" s="73">
        <v>9405</v>
      </c>
    </row>
    <row r="11" spans="2:16" x14ac:dyDescent="0.35">
      <c r="B11" s="3"/>
      <c r="C11" s="3"/>
      <c r="D11" s="3"/>
      <c r="E11" s="3"/>
      <c r="F11" s="3"/>
      <c r="G11" s="3"/>
      <c r="H11" s="3"/>
      <c r="I11" s="3"/>
      <c r="L11" s="8" t="s">
        <v>18</v>
      </c>
      <c r="M11" s="72">
        <v>1834</v>
      </c>
      <c r="N11" s="73">
        <v>4907</v>
      </c>
    </row>
    <row r="12" spans="2:16" x14ac:dyDescent="0.35">
      <c r="B12" s="3" t="s">
        <v>43</v>
      </c>
      <c r="C12" s="12">
        <f>SUM(C5:C10)</f>
        <v>21160</v>
      </c>
      <c r="D12" s="12">
        <f t="shared" ref="D12:G12" si="0">SUM(D5:D10)</f>
        <v>19482</v>
      </c>
      <c r="E12" s="12">
        <f t="shared" si="0"/>
        <v>15346</v>
      </c>
      <c r="F12" s="12">
        <f t="shared" si="0"/>
        <v>19326</v>
      </c>
      <c r="G12" s="12">
        <f t="shared" si="0"/>
        <v>18695</v>
      </c>
      <c r="H12" s="12">
        <f>SUM(H5:H10)</f>
        <v>18522</v>
      </c>
      <c r="I12" s="12">
        <f>SUM(I5:I10)</f>
        <v>16688</v>
      </c>
      <c r="L12" s="8" t="s">
        <v>44</v>
      </c>
      <c r="M12" s="10"/>
      <c r="N12" s="10"/>
    </row>
    <row r="13" spans="2:16" x14ac:dyDescent="0.35">
      <c r="C13" s="20" t="s">
        <v>22</v>
      </c>
      <c r="D13" s="20" t="s">
        <v>22</v>
      </c>
      <c r="E13" s="20" t="s">
        <v>23</v>
      </c>
      <c r="F13" s="20" t="s">
        <v>22</v>
      </c>
      <c r="G13" s="20" t="s">
        <v>22</v>
      </c>
      <c r="H13" s="20" t="s">
        <v>24</v>
      </c>
      <c r="I13" s="20" t="s">
        <v>24</v>
      </c>
    </row>
    <row r="14" spans="2:16" x14ac:dyDescent="0.35">
      <c r="G14" s="20" t="s">
        <v>26</v>
      </c>
      <c r="L14" s="128" t="s">
        <v>78</v>
      </c>
      <c r="M14" s="128"/>
      <c r="P14" s="26"/>
    </row>
    <row r="15" spans="2:16" x14ac:dyDescent="0.35">
      <c r="L15" s="123">
        <v>1500</v>
      </c>
      <c r="M15" s="123"/>
      <c r="O15" t="s">
        <v>45</v>
      </c>
    </row>
    <row r="17" spans="2:19" x14ac:dyDescent="0.35">
      <c r="B17" s="1" t="s">
        <v>112</v>
      </c>
      <c r="C17" s="2" t="s">
        <v>4</v>
      </c>
      <c r="D17" s="2" t="s">
        <v>65</v>
      </c>
      <c r="E17" s="2" t="s">
        <v>66</v>
      </c>
      <c r="F17" s="2" t="s">
        <v>5</v>
      </c>
      <c r="G17" s="2" t="s">
        <v>6</v>
      </c>
      <c r="H17" s="2" t="s">
        <v>7</v>
      </c>
      <c r="I17" s="2" t="s">
        <v>63</v>
      </c>
      <c r="L17" s="128" t="s">
        <v>46</v>
      </c>
      <c r="M17" s="128"/>
    </row>
    <row r="18" spans="2:19" x14ac:dyDescent="0.35">
      <c r="B18" s="3" t="s">
        <v>94</v>
      </c>
      <c r="C18" s="3"/>
      <c r="D18" s="3"/>
      <c r="E18" s="3"/>
      <c r="F18" s="3"/>
      <c r="G18" s="3"/>
      <c r="H18" s="3"/>
      <c r="I18" s="3"/>
      <c r="L18" s="129">
        <f>633*20</f>
        <v>12660</v>
      </c>
      <c r="M18" s="130"/>
      <c r="O18" t="s">
        <v>47</v>
      </c>
    </row>
    <row r="19" spans="2:19" ht="15" customHeight="1" x14ac:dyDescent="0.35">
      <c r="B19" s="3" t="s">
        <v>8</v>
      </c>
      <c r="C19" s="14">
        <f>(M3*L15)+(N3*L21)</f>
        <v>7187430</v>
      </c>
      <c r="D19" s="14">
        <f>C19</f>
        <v>7187430</v>
      </c>
      <c r="E19" s="19" t="s">
        <v>9</v>
      </c>
      <c r="F19" s="23">
        <f>C19</f>
        <v>7187430</v>
      </c>
      <c r="G19" s="14">
        <f>C19</f>
        <v>7187430</v>
      </c>
      <c r="H19" s="14" t="s">
        <v>9</v>
      </c>
      <c r="I19" s="15" t="s">
        <v>9</v>
      </c>
    </row>
    <row r="20" spans="2:19" ht="15" customHeight="1" x14ac:dyDescent="0.35">
      <c r="B20" s="3" t="s">
        <v>10</v>
      </c>
      <c r="C20" s="14">
        <f>(M4*L15)+(N4*L21)</f>
        <v>2694100</v>
      </c>
      <c r="D20" s="19" t="s">
        <v>11</v>
      </c>
      <c r="E20" s="14">
        <f>C20</f>
        <v>2694100</v>
      </c>
      <c r="F20" s="14">
        <f>C20</f>
        <v>2694100</v>
      </c>
      <c r="G20" s="21" t="s">
        <v>11</v>
      </c>
      <c r="H20" s="14">
        <f>C20</f>
        <v>2694100</v>
      </c>
      <c r="I20" s="14">
        <f>C20</f>
        <v>2694100</v>
      </c>
      <c r="L20" s="128" t="s">
        <v>77</v>
      </c>
      <c r="M20" s="128"/>
    </row>
    <row r="21" spans="2:19" ht="15" customHeight="1" x14ac:dyDescent="0.35">
      <c r="B21" s="3" t="s">
        <v>33</v>
      </c>
      <c r="C21" s="14">
        <f>(M5*L15)+(N5*L21)</f>
        <v>9711500</v>
      </c>
      <c r="D21" s="14">
        <f>C21</f>
        <v>9711500</v>
      </c>
      <c r="E21" s="15">
        <f>(M7*L15)+(O7*L21)</f>
        <v>13915500</v>
      </c>
      <c r="F21" s="14">
        <f>C21</f>
        <v>9711500</v>
      </c>
      <c r="G21" s="14">
        <f>C21</f>
        <v>9711500</v>
      </c>
      <c r="H21" s="15">
        <f>(M6*L15)+(O6*L21)</f>
        <v>11955000</v>
      </c>
      <c r="I21" s="15">
        <f>(M6*L15)+(O6*L21)</f>
        <v>11955000</v>
      </c>
      <c r="L21" s="123">
        <v>35</v>
      </c>
      <c r="M21" s="123"/>
      <c r="O21" s="117" t="s">
        <v>79</v>
      </c>
      <c r="P21" s="117"/>
      <c r="Q21" s="117"/>
      <c r="R21" s="117"/>
    </row>
    <row r="22" spans="2:19" ht="15" customHeight="1" x14ac:dyDescent="0.35">
      <c r="B22" s="3" t="s">
        <v>14</v>
      </c>
      <c r="C22" s="14">
        <f>(M9*L15)+(N9*L21)</f>
        <v>6929150</v>
      </c>
      <c r="D22" s="15">
        <f>(M9*L15)+(O9*L21)</f>
        <v>6586500</v>
      </c>
      <c r="E22" s="14">
        <f>C22</f>
        <v>6929150</v>
      </c>
      <c r="F22" s="14">
        <f>C22</f>
        <v>6929150</v>
      </c>
      <c r="G22" s="15">
        <f>C22+(M6-M5)*L15</f>
        <v>9722150</v>
      </c>
      <c r="H22" s="14">
        <f>C22</f>
        <v>6929150</v>
      </c>
      <c r="I22" s="14">
        <f>C22</f>
        <v>6929150</v>
      </c>
      <c r="O22" s="117"/>
      <c r="P22" s="117"/>
      <c r="Q22" s="117"/>
      <c r="R22" s="117"/>
    </row>
    <row r="23" spans="2:19" ht="15" customHeight="1" x14ac:dyDescent="0.35">
      <c r="B23" s="3" t="s">
        <v>16</v>
      </c>
      <c r="C23" s="14">
        <f>(M10*L15)+(N10*L21)</f>
        <v>4302675</v>
      </c>
      <c r="D23" s="14">
        <f>C23</f>
        <v>4302675</v>
      </c>
      <c r="E23" s="19" t="s">
        <v>9</v>
      </c>
      <c r="F23" s="15">
        <f>C23</f>
        <v>4302675</v>
      </c>
      <c r="G23" s="19" t="s">
        <v>11</v>
      </c>
      <c r="H23" s="14">
        <f>C23</f>
        <v>4302675</v>
      </c>
      <c r="I23" s="14">
        <f>C23</f>
        <v>4302675</v>
      </c>
    </row>
    <row r="24" spans="2:19" ht="15" customHeight="1" x14ac:dyDescent="0.35">
      <c r="B24" s="3" t="s">
        <v>18</v>
      </c>
      <c r="C24" s="14">
        <f>(M11*L15)+(N11*L21)</f>
        <v>2922745</v>
      </c>
      <c r="D24" s="14">
        <f>C24</f>
        <v>2922745</v>
      </c>
      <c r="E24" s="19" t="s">
        <v>9</v>
      </c>
      <c r="F24" s="19" t="s">
        <v>19</v>
      </c>
      <c r="G24" s="23">
        <f>C24</f>
        <v>2922745</v>
      </c>
      <c r="H24" s="23">
        <f>C24</f>
        <v>2922745</v>
      </c>
      <c r="I24" s="21" t="s">
        <v>9</v>
      </c>
      <c r="L24" s="124" t="s">
        <v>96</v>
      </c>
      <c r="M24" s="125"/>
    </row>
    <row r="25" spans="2:19" x14ac:dyDescent="0.35">
      <c r="B25" s="3"/>
      <c r="C25" s="4"/>
      <c r="D25" s="4"/>
      <c r="E25" s="4"/>
      <c r="F25" s="4"/>
      <c r="G25" s="4"/>
      <c r="H25" s="3"/>
      <c r="I25" s="3"/>
      <c r="L25" s="126">
        <v>108</v>
      </c>
      <c r="M25" s="127"/>
      <c r="O25" t="s">
        <v>100</v>
      </c>
    </row>
    <row r="26" spans="2:19" x14ac:dyDescent="0.35">
      <c r="B26" s="3" t="s">
        <v>34</v>
      </c>
      <c r="C26" s="14">
        <f>SUM(C19:C24)</f>
        <v>33747600</v>
      </c>
      <c r="D26" s="14">
        <f>SUM(D19:D24)</f>
        <v>30710850</v>
      </c>
      <c r="E26" s="14">
        <f>SUM(E19:E24)</f>
        <v>23538750</v>
      </c>
      <c r="F26" s="14">
        <f>SUM(F19:F24)</f>
        <v>30824855</v>
      </c>
      <c r="G26" s="14">
        <f t="shared" ref="G26" si="1">SUM(G19:G24)</f>
        <v>29543825</v>
      </c>
      <c r="H26" s="14">
        <f>SUM(H19:H24)</f>
        <v>28803670</v>
      </c>
      <c r="I26" s="14">
        <f>SUM(I19:I24)</f>
        <v>25880925</v>
      </c>
      <c r="L26" s="75" t="s">
        <v>97</v>
      </c>
      <c r="M26" s="76">
        <f>L25*20</f>
        <v>2160</v>
      </c>
    </row>
    <row r="27" spans="2:19" x14ac:dyDescent="0.35">
      <c r="C27" s="20" t="s">
        <v>22</v>
      </c>
      <c r="D27" s="20" t="s">
        <v>22</v>
      </c>
      <c r="E27" s="20" t="s">
        <v>23</v>
      </c>
      <c r="F27" s="20" t="s">
        <v>22</v>
      </c>
      <c r="G27" s="20" t="s">
        <v>22</v>
      </c>
      <c r="H27" s="20" t="s">
        <v>24</v>
      </c>
      <c r="I27" s="20" t="s">
        <v>24</v>
      </c>
    </row>
    <row r="28" spans="2:19" x14ac:dyDescent="0.35">
      <c r="E28" s="89"/>
      <c r="F28" s="90"/>
      <c r="G28" s="20" t="s">
        <v>26</v>
      </c>
    </row>
    <row r="31" spans="2:19" x14ac:dyDescent="0.35">
      <c r="B31" s="1" t="s">
        <v>113</v>
      </c>
      <c r="C31" s="2" t="s">
        <v>4</v>
      </c>
      <c r="D31" s="2" t="s">
        <v>65</v>
      </c>
      <c r="E31" s="2" t="s">
        <v>66</v>
      </c>
      <c r="F31" s="2" t="s">
        <v>5</v>
      </c>
      <c r="G31" s="2" t="s">
        <v>6</v>
      </c>
      <c r="H31" s="2" t="s">
        <v>7</v>
      </c>
      <c r="I31" s="2" t="s">
        <v>63</v>
      </c>
      <c r="L31" s="120" t="s">
        <v>49</v>
      </c>
      <c r="M31" s="121"/>
      <c r="N31" s="121"/>
      <c r="O31" s="121"/>
      <c r="P31" s="121"/>
      <c r="Q31" s="121"/>
      <c r="R31" s="121"/>
      <c r="S31" s="122"/>
    </row>
    <row r="32" spans="2:19" x14ac:dyDescent="0.35">
      <c r="B32" s="3"/>
      <c r="C32" s="3"/>
      <c r="D32" s="3"/>
      <c r="E32" s="3"/>
      <c r="F32" s="3"/>
      <c r="G32" s="3"/>
      <c r="H32" s="3"/>
      <c r="I32" s="3"/>
      <c r="L32" s="2"/>
      <c r="M32" s="2" t="s">
        <v>3</v>
      </c>
      <c r="N32" s="2" t="s">
        <v>31</v>
      </c>
      <c r="O32" s="2" t="s">
        <v>32</v>
      </c>
      <c r="P32" s="2" t="s">
        <v>50</v>
      </c>
      <c r="Q32" s="2" t="s">
        <v>51</v>
      </c>
      <c r="R32" s="2" t="s">
        <v>52</v>
      </c>
      <c r="S32" s="2"/>
    </row>
    <row r="33" spans="2:19" x14ac:dyDescent="0.35">
      <c r="B33" s="3" t="s">
        <v>53</v>
      </c>
      <c r="C33" s="87">
        <f>M3*M26</f>
        <v>9720000</v>
      </c>
      <c r="D33" s="14">
        <f>C33</f>
        <v>9720000</v>
      </c>
      <c r="E33" s="19" t="s">
        <v>9</v>
      </c>
      <c r="F33" s="23">
        <f>C33</f>
        <v>9720000</v>
      </c>
      <c r="G33" s="14">
        <f>C33</f>
        <v>9720000</v>
      </c>
      <c r="H33" s="21" t="s">
        <v>9</v>
      </c>
      <c r="I33" s="21" t="s">
        <v>9</v>
      </c>
      <c r="L33" s="3" t="s">
        <v>4</v>
      </c>
      <c r="M33" s="31">
        <f>Skoledrift!Q20</f>
        <v>0.72096999767379844</v>
      </c>
      <c r="N33" s="33"/>
      <c r="O33" s="33">
        <v>0</v>
      </c>
      <c r="P33" s="29"/>
      <c r="Q33" s="33">
        <f>P33*$L$15</f>
        <v>0</v>
      </c>
      <c r="R33" s="33">
        <f t="shared" ref="R33:R39" si="2">N33+O33+Q33</f>
        <v>0</v>
      </c>
      <c r="S33" s="33"/>
    </row>
    <row r="34" spans="2:19" x14ac:dyDescent="0.35">
      <c r="B34" s="3" t="s">
        <v>10</v>
      </c>
      <c r="C34" s="14">
        <f>M4*L18</f>
        <v>21243480</v>
      </c>
      <c r="D34" s="19" t="s">
        <v>11</v>
      </c>
      <c r="E34" s="14">
        <f>C34</f>
        <v>21243480</v>
      </c>
      <c r="F34" s="14">
        <f>C34</f>
        <v>21243480</v>
      </c>
      <c r="G34" s="21" t="s">
        <v>11</v>
      </c>
      <c r="H34" s="14">
        <f>C34</f>
        <v>21243480</v>
      </c>
      <c r="I34" s="14">
        <f>C34</f>
        <v>21243480</v>
      </c>
      <c r="L34" s="3" t="s">
        <v>65</v>
      </c>
      <c r="M34" s="31">
        <f>Skoledrift!Q21</f>
        <v>0.73603598236625756</v>
      </c>
      <c r="N34" s="33">
        <f>Skoledrift!R21</f>
        <v>-1973120.2000000002</v>
      </c>
      <c r="O34" s="33">
        <f>Skoledrift!S21</f>
        <v>229956</v>
      </c>
      <c r="P34" s="29"/>
      <c r="Q34" s="33">
        <f>D26-C26</f>
        <v>-3036750</v>
      </c>
      <c r="R34" s="33">
        <f>N34+O34+Q34</f>
        <v>-4779914.2</v>
      </c>
      <c r="S34" s="33"/>
    </row>
    <row r="35" spans="2:19" x14ac:dyDescent="0.35">
      <c r="B35" s="3" t="s">
        <v>55</v>
      </c>
      <c r="C35" s="14">
        <f>M5*M26</f>
        <v>13193280</v>
      </c>
      <c r="D35" s="14">
        <f>C35</f>
        <v>13193280</v>
      </c>
      <c r="E35" s="15">
        <f>M7*M26</f>
        <v>20038320</v>
      </c>
      <c r="F35" s="14">
        <f>C35</f>
        <v>13193280</v>
      </c>
      <c r="G35" s="14">
        <f>C35</f>
        <v>13193280</v>
      </c>
      <c r="H35" s="15">
        <f>M6*M26</f>
        <v>17215200</v>
      </c>
      <c r="I35" s="15">
        <f>M6*M26</f>
        <v>17215200</v>
      </c>
      <c r="L35" s="3" t="s">
        <v>66</v>
      </c>
      <c r="M35" s="31">
        <f>Skoledrift!Q22</f>
        <v>0.71223398450289199</v>
      </c>
      <c r="N35" s="33">
        <f>Skoledrift!R22</f>
        <v>-8605994.4400000013</v>
      </c>
      <c r="O35" s="33">
        <f>Skoledrift!S22</f>
        <v>2008090</v>
      </c>
      <c r="P35" s="29"/>
      <c r="Q35" s="33">
        <f>E26-C26</f>
        <v>-10208850</v>
      </c>
      <c r="R35" s="33">
        <f t="shared" si="2"/>
        <v>-16806754.440000001</v>
      </c>
      <c r="S35" s="33"/>
    </row>
    <row r="36" spans="2:19" x14ac:dyDescent="0.35">
      <c r="B36" s="3" t="s">
        <v>14</v>
      </c>
      <c r="C36" s="14">
        <f>M9*L18</f>
        <v>55590060</v>
      </c>
      <c r="D36" s="15">
        <f>C36</f>
        <v>55590060</v>
      </c>
      <c r="E36" s="14">
        <f>C36</f>
        <v>55590060</v>
      </c>
      <c r="F36" s="14">
        <f>C36</f>
        <v>55590060</v>
      </c>
      <c r="G36" s="77">
        <f>(M9*L15)+(M6-M5)*L15</f>
        <v>9379500</v>
      </c>
      <c r="H36" s="14">
        <f>C36</f>
        <v>55590060</v>
      </c>
      <c r="I36" s="14">
        <f>C36</f>
        <v>55590060</v>
      </c>
      <c r="L36" s="3" t="s">
        <v>5</v>
      </c>
      <c r="M36" s="31">
        <f>Skoledrift!Q23</f>
        <v>0.83206307977736549</v>
      </c>
      <c r="N36" s="33">
        <f>Skoledrift!R23</f>
        <v>-2464586.2000000007</v>
      </c>
      <c r="O36" s="33">
        <f>Skoledrift!S23</f>
        <v>339727.09756097558</v>
      </c>
      <c r="P36" s="29"/>
      <c r="Q36" s="33">
        <f>F26-C26</f>
        <v>-2922745</v>
      </c>
      <c r="R36" s="33">
        <f t="shared" si="2"/>
        <v>-5047604.1024390254</v>
      </c>
      <c r="S36" s="33"/>
    </row>
    <row r="37" spans="2:19" x14ac:dyDescent="0.35">
      <c r="B37" s="3" t="s">
        <v>16</v>
      </c>
      <c r="C37" s="14">
        <f>M10*L18</f>
        <v>33536340</v>
      </c>
      <c r="D37" s="14">
        <f>C37</f>
        <v>33536340</v>
      </c>
      <c r="E37" s="19" t="s">
        <v>9</v>
      </c>
      <c r="F37" s="77">
        <f>C37</f>
        <v>33536340</v>
      </c>
      <c r="G37" s="19" t="s">
        <v>11</v>
      </c>
      <c r="H37" s="14">
        <f>C37</f>
        <v>33536340</v>
      </c>
      <c r="I37" s="14">
        <f>C37</f>
        <v>33536340</v>
      </c>
      <c r="L37" s="3" t="s">
        <v>6</v>
      </c>
      <c r="M37" s="31">
        <f>Skoledrift!Q24</f>
        <v>0.69959043250327657</v>
      </c>
      <c r="N37" s="33">
        <f>Skoledrift!R24</f>
        <v>-3712246.1999999997</v>
      </c>
      <c r="O37" s="33">
        <f>Skoledrift!S24</f>
        <v>913895</v>
      </c>
      <c r="P37" s="29"/>
      <c r="Q37" s="33">
        <f>G26-C26</f>
        <v>-4203775</v>
      </c>
      <c r="R37" s="33">
        <f t="shared" si="2"/>
        <v>-7002126.1999999993</v>
      </c>
      <c r="S37" s="33"/>
    </row>
    <row r="38" spans="2:19" x14ac:dyDescent="0.35">
      <c r="B38" s="3" t="s">
        <v>18</v>
      </c>
      <c r="C38" s="14">
        <f>M11*L18</f>
        <v>23218440</v>
      </c>
      <c r="D38" s="14">
        <f>C38</f>
        <v>23218440</v>
      </c>
      <c r="E38" s="19" t="s">
        <v>9</v>
      </c>
      <c r="F38" s="19" t="s">
        <v>19</v>
      </c>
      <c r="G38" s="23">
        <f>C38</f>
        <v>23218440</v>
      </c>
      <c r="H38" s="23">
        <f>C38</f>
        <v>23218440</v>
      </c>
      <c r="I38" s="21" t="s">
        <v>9</v>
      </c>
      <c r="L38" s="3" t="s">
        <v>7</v>
      </c>
      <c r="M38" s="31">
        <f>Skoledrift!Q25</f>
        <v>0.69163152967609054</v>
      </c>
      <c r="N38" s="33">
        <f>Skoledrift!R25</f>
        <v>-3925405.8000000007</v>
      </c>
      <c r="O38" s="33">
        <f>Skoledrift!S25</f>
        <v>666710</v>
      </c>
      <c r="P38" s="29"/>
      <c r="Q38" s="33">
        <f>H26-C26</f>
        <v>-4943930</v>
      </c>
      <c r="R38" s="33">
        <f t="shared" si="2"/>
        <v>-8202625.8000000007</v>
      </c>
      <c r="S38" s="33"/>
    </row>
    <row r="39" spans="2:19" x14ac:dyDescent="0.35">
      <c r="B39" s="3"/>
      <c r="C39" s="4"/>
      <c r="D39" s="4"/>
      <c r="E39" s="4"/>
      <c r="F39" s="4"/>
      <c r="G39" s="4"/>
      <c r="H39" s="5"/>
      <c r="I39" s="5"/>
      <c r="L39" s="3" t="s">
        <v>63</v>
      </c>
      <c r="M39" s="31">
        <f>Skoledrift!Q26</f>
        <v>0.75602040816326521</v>
      </c>
      <c r="N39" s="33">
        <f>Skoledrift!R26</f>
        <v>-5229533.0000000009</v>
      </c>
      <c r="O39" s="33">
        <f>Skoledrift!S26</f>
        <v>1145767</v>
      </c>
      <c r="P39" s="29"/>
      <c r="Q39" s="33">
        <f>I26-C26</f>
        <v>-7866675</v>
      </c>
      <c r="R39" s="33">
        <f t="shared" si="2"/>
        <v>-11950441</v>
      </c>
      <c r="S39" s="33"/>
    </row>
    <row r="40" spans="2:19" x14ac:dyDescent="0.35">
      <c r="B40" s="3" t="s">
        <v>34</v>
      </c>
      <c r="C40" s="14">
        <f>SUM(C33:C38)</f>
        <v>156501600</v>
      </c>
      <c r="D40" s="14">
        <f>SUM(D33:D38)</f>
        <v>135258120</v>
      </c>
      <c r="E40" s="14">
        <f>SUM(E33:E38)</f>
        <v>96871860</v>
      </c>
      <c r="F40" s="14">
        <f>SUM(F33:F38)</f>
        <v>133283160</v>
      </c>
      <c r="G40" s="14">
        <f>SUM(G33:G38)</f>
        <v>55511220</v>
      </c>
      <c r="H40" s="14">
        <f t="shared" ref="H40:I40" si="3">SUM(H33:H38)</f>
        <v>150803520</v>
      </c>
      <c r="I40" s="14">
        <f t="shared" si="3"/>
        <v>127585080</v>
      </c>
      <c r="L40" s="3" t="s">
        <v>67</v>
      </c>
      <c r="M40" s="31">
        <f>Skoledrift!Q27</f>
        <v>0.72413498343457472</v>
      </c>
      <c r="N40" s="33">
        <f>Skoledrift!R27</f>
        <v>-10579114.640000001</v>
      </c>
      <c r="O40" s="33">
        <f>Skoledrift!S27</f>
        <v>2238046</v>
      </c>
      <c r="P40" s="29"/>
      <c r="Q40" s="33">
        <f>Q34+Q35</f>
        <v>-13245600</v>
      </c>
      <c r="R40" s="33">
        <f>N40+O40+Q40</f>
        <v>-21586668.640000001</v>
      </c>
      <c r="S40" s="33"/>
    </row>
    <row r="41" spans="2:19" x14ac:dyDescent="0.35">
      <c r="C41" s="20" t="s">
        <v>22</v>
      </c>
      <c r="D41" s="20" t="s">
        <v>22</v>
      </c>
      <c r="E41" s="20" t="s">
        <v>23</v>
      </c>
      <c r="F41" s="20" t="s">
        <v>22</v>
      </c>
      <c r="G41" s="20" t="s">
        <v>22</v>
      </c>
      <c r="H41" s="20" t="s">
        <v>24</v>
      </c>
      <c r="I41" s="20" t="s">
        <v>24</v>
      </c>
      <c r="L41" s="3" t="s">
        <v>68</v>
      </c>
      <c r="M41" s="31">
        <f>Skoledrift!Q28</f>
        <v>0.78404953107181152</v>
      </c>
      <c r="N41" s="33">
        <f>Skoledrift!R28</f>
        <v>-4437706.4000000004</v>
      </c>
      <c r="O41" s="33">
        <f>Skoledrift!S28</f>
        <v>569683.09756097558</v>
      </c>
      <c r="P41" s="29"/>
      <c r="Q41" s="33">
        <f>Q34+Q36</f>
        <v>-5959495</v>
      </c>
      <c r="R41" s="33">
        <f>N41+O41+Q41</f>
        <v>-9827518.3024390247</v>
      </c>
      <c r="S41" s="33"/>
    </row>
    <row r="42" spans="2:19" x14ac:dyDescent="0.35">
      <c r="E42" s="89"/>
      <c r="F42" s="90"/>
      <c r="G42" s="20" t="s">
        <v>26</v>
      </c>
      <c r="L42" s="3" t="s">
        <v>69</v>
      </c>
      <c r="M42" s="31">
        <f>Skoledrift!Q29</f>
        <v>0.71383375602117405</v>
      </c>
      <c r="N42" s="33">
        <f>Skoledrift!R29</f>
        <v>-5898526.0000000009</v>
      </c>
      <c r="O42" s="33">
        <f>Skoledrift!S29</f>
        <v>896666</v>
      </c>
      <c r="P42" s="29"/>
      <c r="Q42" s="33">
        <f>Q34+Q38</f>
        <v>-7980680</v>
      </c>
      <c r="R42" s="33">
        <f>N42+O42+Q42</f>
        <v>-12982540</v>
      </c>
      <c r="S42" s="33"/>
    </row>
    <row r="43" spans="2:19" x14ac:dyDescent="0.35">
      <c r="L43" s="3" t="s">
        <v>73</v>
      </c>
      <c r="M43" s="31">
        <f>Skoledrift!Q30</f>
        <v>0.74602819526476138</v>
      </c>
      <c r="N43" s="33">
        <f>Skoledrift!R30</f>
        <v>-7202653.2000000011</v>
      </c>
      <c r="O43" s="33">
        <f>Skoledrift!S30</f>
        <v>1375723</v>
      </c>
      <c r="P43" s="29"/>
      <c r="Q43" s="33">
        <f>Q34+Q39</f>
        <v>-10903425</v>
      </c>
      <c r="R43" s="33">
        <f t="shared" ref="R43:R45" si="4">N43+O43+Q43</f>
        <v>-16730355.200000001</v>
      </c>
      <c r="S43" s="33"/>
    </row>
    <row r="44" spans="2:19" x14ac:dyDescent="0.35">
      <c r="L44" s="3" t="s">
        <v>70</v>
      </c>
      <c r="M44" s="31">
        <f>Skoledrift!Q31</f>
        <v>0.75324353060657112</v>
      </c>
      <c r="N44" s="33">
        <f>Skoledrift!R31</f>
        <v>-8363112.2000000011</v>
      </c>
      <c r="O44" s="33">
        <f>Skoledrift!S31</f>
        <v>1236393.0975609757</v>
      </c>
      <c r="P44" s="29"/>
      <c r="Q44" s="33">
        <f>Q34+Q36+Q38</f>
        <v>-10903425</v>
      </c>
      <c r="R44" s="33">
        <f t="shared" si="4"/>
        <v>-18030144.102439024</v>
      </c>
      <c r="S44" s="33"/>
    </row>
    <row r="45" spans="2:19" x14ac:dyDescent="0.35">
      <c r="L45" s="3" t="s">
        <v>72</v>
      </c>
      <c r="M45" s="31">
        <f>Skoledrift!Q32</f>
        <v>0.72780542033327089</v>
      </c>
      <c r="N45" s="33">
        <f>Skoledrift!R32</f>
        <v>-8941779.2000000011</v>
      </c>
      <c r="O45" s="33">
        <f>Skoledrift!S32</f>
        <v>2059662</v>
      </c>
      <c r="P45" s="12"/>
      <c r="Q45" s="33">
        <f>Q37+Q39</f>
        <v>-12070450</v>
      </c>
      <c r="R45" s="33">
        <f t="shared" si="4"/>
        <v>-18952567.200000003</v>
      </c>
      <c r="S45" s="33"/>
    </row>
    <row r="46" spans="2:19" x14ac:dyDescent="0.35">
      <c r="B46" s="1" t="s">
        <v>48</v>
      </c>
      <c r="C46" s="2" t="s">
        <v>4</v>
      </c>
      <c r="D46" s="2" t="s">
        <v>65</v>
      </c>
      <c r="E46" s="2" t="s">
        <v>66</v>
      </c>
      <c r="F46" s="2" t="s">
        <v>5</v>
      </c>
      <c r="G46" s="2" t="s">
        <v>6</v>
      </c>
      <c r="H46" s="2" t="s">
        <v>7</v>
      </c>
      <c r="I46" s="2" t="s">
        <v>63</v>
      </c>
    </row>
    <row r="47" spans="2:19" x14ac:dyDescent="0.35">
      <c r="B47" s="3"/>
      <c r="C47" s="3"/>
      <c r="D47" s="3"/>
      <c r="E47" s="3"/>
      <c r="F47" s="3"/>
      <c r="G47" s="3"/>
      <c r="H47" s="3"/>
      <c r="I47" s="3"/>
      <c r="L47" s="100" t="s">
        <v>58</v>
      </c>
      <c r="M47" s="100"/>
      <c r="N47" s="100"/>
      <c r="P47" s="119"/>
      <c r="Q47" s="119"/>
      <c r="R47" s="119"/>
      <c r="S47" s="119"/>
    </row>
    <row r="48" spans="2:19" x14ac:dyDescent="0.35">
      <c r="B48" s="3" t="s">
        <v>53</v>
      </c>
      <c r="C48" s="87">
        <f>185000000+(M18*M41)</f>
        <v>185000000</v>
      </c>
      <c r="D48" s="14">
        <f>C48</f>
        <v>185000000</v>
      </c>
      <c r="E48" s="19" t="s">
        <v>9</v>
      </c>
      <c r="F48" s="23">
        <f>C48</f>
        <v>185000000</v>
      </c>
      <c r="G48" s="14">
        <f>C48</f>
        <v>185000000</v>
      </c>
      <c r="H48" s="21" t="s">
        <v>9</v>
      </c>
      <c r="I48" s="21" t="s">
        <v>9</v>
      </c>
      <c r="L48" s="3" t="s">
        <v>4</v>
      </c>
      <c r="M48" s="132">
        <v>0</v>
      </c>
      <c r="N48" s="132"/>
      <c r="P48" s="34"/>
      <c r="R48" s="118"/>
      <c r="S48" s="118"/>
    </row>
    <row r="49" spans="2:19" x14ac:dyDescent="0.35">
      <c r="B49" s="3" t="s">
        <v>10</v>
      </c>
      <c r="C49" s="14"/>
      <c r="D49" s="19" t="s">
        <v>11</v>
      </c>
      <c r="E49" s="14">
        <f>C49</f>
        <v>0</v>
      </c>
      <c r="F49" s="14">
        <f>C49</f>
        <v>0</v>
      </c>
      <c r="G49" s="21" t="s">
        <v>11</v>
      </c>
      <c r="H49" s="14">
        <f>C49</f>
        <v>0</v>
      </c>
      <c r="I49" s="14">
        <f>C49</f>
        <v>0</v>
      </c>
      <c r="L49" s="3" t="s">
        <v>65</v>
      </c>
      <c r="M49" s="132">
        <f>R34-$R$33</f>
        <v>-4779914.2</v>
      </c>
      <c r="N49" s="132"/>
      <c r="P49" s="97"/>
      <c r="R49" s="118"/>
      <c r="S49" s="118"/>
    </row>
    <row r="50" spans="2:19" x14ac:dyDescent="0.35">
      <c r="B50" s="3" t="s">
        <v>55</v>
      </c>
      <c r="C50" s="14">
        <f>105000000+(M20*M41)</f>
        <v>105000000</v>
      </c>
      <c r="D50" s="14">
        <f>C50</f>
        <v>105000000</v>
      </c>
      <c r="E50" s="15">
        <f>260000000+(M22*M41)</f>
        <v>260000000</v>
      </c>
      <c r="F50" s="14">
        <f>C50</f>
        <v>105000000</v>
      </c>
      <c r="G50" s="14">
        <f>C50</f>
        <v>105000000</v>
      </c>
      <c r="H50" s="15">
        <f>194000000+(M21*M41)</f>
        <v>194000000</v>
      </c>
      <c r="I50" s="15">
        <f>194000000+(M21*M41)</f>
        <v>194000000</v>
      </c>
      <c r="L50" s="3" t="s">
        <v>66</v>
      </c>
      <c r="M50" s="132">
        <f t="shared" ref="M50:M60" si="5">R35-$R$33</f>
        <v>-16806754.440000001</v>
      </c>
      <c r="N50" s="132"/>
      <c r="P50" s="97"/>
      <c r="R50" s="118"/>
      <c r="S50" s="118"/>
    </row>
    <row r="51" spans="2:19" x14ac:dyDescent="0.35">
      <c r="B51" s="3" t="s">
        <v>14</v>
      </c>
      <c r="C51" s="14"/>
      <c r="D51" s="15">
        <f>C51</f>
        <v>0</v>
      </c>
      <c r="E51" s="14">
        <f>C51</f>
        <v>0</v>
      </c>
      <c r="F51" s="14">
        <f>C51</f>
        <v>0</v>
      </c>
      <c r="G51" s="77">
        <f>H50-C50</f>
        <v>89000000</v>
      </c>
      <c r="H51" s="14">
        <f>C51</f>
        <v>0</v>
      </c>
      <c r="I51" s="14">
        <f>C51</f>
        <v>0</v>
      </c>
      <c r="L51" s="3" t="s">
        <v>5</v>
      </c>
      <c r="M51" s="132">
        <f t="shared" si="5"/>
        <v>-5047604.1024390254</v>
      </c>
      <c r="N51" s="132"/>
      <c r="P51" s="97"/>
      <c r="R51" s="118"/>
      <c r="S51" s="118"/>
    </row>
    <row r="52" spans="2:19" x14ac:dyDescent="0.35">
      <c r="B52" s="3" t="s">
        <v>16</v>
      </c>
      <c r="C52" s="14"/>
      <c r="D52" s="14">
        <f>C52</f>
        <v>0</v>
      </c>
      <c r="E52" s="19" t="s">
        <v>9</v>
      </c>
      <c r="F52" s="77">
        <f>C52</f>
        <v>0</v>
      </c>
      <c r="G52" s="19" t="s">
        <v>11</v>
      </c>
      <c r="H52" s="14">
        <f>C52</f>
        <v>0</v>
      </c>
      <c r="I52" s="14">
        <f>C52</f>
        <v>0</v>
      </c>
      <c r="L52" s="3" t="s">
        <v>6</v>
      </c>
      <c r="M52" s="132">
        <f t="shared" si="5"/>
        <v>-7002126.1999999993</v>
      </c>
      <c r="N52" s="132"/>
      <c r="P52" s="97"/>
      <c r="R52" s="118"/>
      <c r="S52" s="118"/>
    </row>
    <row r="53" spans="2:19" x14ac:dyDescent="0.35">
      <c r="B53" s="3" t="s">
        <v>18</v>
      </c>
      <c r="C53" s="14"/>
      <c r="D53" s="14">
        <f>C53</f>
        <v>0</v>
      </c>
      <c r="E53" s="19" t="s">
        <v>9</v>
      </c>
      <c r="F53" s="19" t="s">
        <v>19</v>
      </c>
      <c r="G53" s="23">
        <f>C53</f>
        <v>0</v>
      </c>
      <c r="H53" s="23">
        <f>C53</f>
        <v>0</v>
      </c>
      <c r="I53" s="21" t="s">
        <v>9</v>
      </c>
      <c r="L53" s="3" t="s">
        <v>7</v>
      </c>
      <c r="M53" s="132">
        <f t="shared" si="5"/>
        <v>-8202625.8000000007</v>
      </c>
      <c r="N53" s="132"/>
      <c r="P53" s="97"/>
      <c r="R53" s="118"/>
      <c r="S53" s="118"/>
    </row>
    <row r="54" spans="2:19" x14ac:dyDescent="0.35">
      <c r="B54" s="3"/>
      <c r="C54" s="4"/>
      <c r="D54" s="4"/>
      <c r="E54" s="4"/>
      <c r="F54" s="4"/>
      <c r="G54" s="4"/>
      <c r="H54" s="5"/>
      <c r="I54" s="5"/>
      <c r="L54" s="3" t="s">
        <v>63</v>
      </c>
      <c r="M54" s="132">
        <f t="shared" si="5"/>
        <v>-11950441</v>
      </c>
      <c r="N54" s="132"/>
      <c r="P54" s="97"/>
      <c r="R54" s="91"/>
      <c r="S54" s="91"/>
    </row>
    <row r="55" spans="2:19" x14ac:dyDescent="0.35">
      <c r="B55" s="3" t="s">
        <v>34</v>
      </c>
      <c r="C55" s="14">
        <f>SUM(C48:C53)</f>
        <v>290000000</v>
      </c>
      <c r="D55" s="14">
        <f>SUM(D48:D53)</f>
        <v>290000000</v>
      </c>
      <c r="E55" s="14">
        <f>SUM(E48:E53)</f>
        <v>260000000</v>
      </c>
      <c r="F55" s="14">
        <f>SUM(F48:F53)</f>
        <v>290000000</v>
      </c>
      <c r="G55" s="14">
        <f t="shared" ref="G55:I55" si="6">SUM(G48:G53)</f>
        <v>379000000</v>
      </c>
      <c r="H55" s="14">
        <f t="shared" si="6"/>
        <v>194000000</v>
      </c>
      <c r="I55" s="14">
        <f t="shared" si="6"/>
        <v>194000000</v>
      </c>
      <c r="L55" s="3" t="s">
        <v>67</v>
      </c>
      <c r="M55" s="132">
        <f t="shared" si="5"/>
        <v>-21586668.640000001</v>
      </c>
      <c r="N55" s="132"/>
      <c r="R55" s="118"/>
      <c r="S55" s="118"/>
    </row>
    <row r="56" spans="2:19" x14ac:dyDescent="0.35">
      <c r="C56" s="20" t="s">
        <v>22</v>
      </c>
      <c r="D56" s="20" t="s">
        <v>22</v>
      </c>
      <c r="E56" s="20" t="s">
        <v>23</v>
      </c>
      <c r="F56" s="20" t="s">
        <v>22</v>
      </c>
      <c r="G56" s="20" t="s">
        <v>22</v>
      </c>
      <c r="H56" s="20" t="s">
        <v>24</v>
      </c>
      <c r="I56" s="20" t="s">
        <v>24</v>
      </c>
      <c r="L56" s="3" t="s">
        <v>68</v>
      </c>
      <c r="M56" s="132">
        <f t="shared" si="5"/>
        <v>-9827518.3024390247</v>
      </c>
      <c r="N56" s="132"/>
      <c r="R56" s="118"/>
      <c r="S56" s="118"/>
    </row>
    <row r="57" spans="2:19" x14ac:dyDescent="0.35">
      <c r="F57" s="90"/>
      <c r="G57" s="20" t="s">
        <v>26</v>
      </c>
      <c r="L57" s="3" t="s">
        <v>69</v>
      </c>
      <c r="M57" s="132">
        <f t="shared" si="5"/>
        <v>-12982540</v>
      </c>
      <c r="N57" s="132"/>
      <c r="R57" s="118"/>
      <c r="S57" s="118"/>
    </row>
    <row r="58" spans="2:19" x14ac:dyDescent="0.35">
      <c r="L58" s="3" t="s">
        <v>73</v>
      </c>
      <c r="M58" s="132">
        <f t="shared" si="5"/>
        <v>-16730355.200000001</v>
      </c>
      <c r="N58" s="132"/>
      <c r="R58" s="91"/>
      <c r="S58" s="91"/>
    </row>
    <row r="59" spans="2:19" x14ac:dyDescent="0.35">
      <c r="L59" s="3" t="s">
        <v>75</v>
      </c>
      <c r="M59" s="132">
        <f t="shared" si="5"/>
        <v>-18030144.102439024</v>
      </c>
      <c r="N59" s="132"/>
      <c r="R59" s="118"/>
      <c r="S59" s="118"/>
    </row>
    <row r="60" spans="2:19" x14ac:dyDescent="0.35">
      <c r="L60" s="3" t="s">
        <v>72</v>
      </c>
      <c r="M60" s="132">
        <f t="shared" si="5"/>
        <v>-18952567.200000003</v>
      </c>
      <c r="N60" s="132"/>
      <c r="R60" s="131"/>
      <c r="S60" s="131"/>
    </row>
    <row r="63" spans="2:19" x14ac:dyDescent="0.35">
      <c r="B63" t="s">
        <v>56</v>
      </c>
      <c r="C63" t="s">
        <v>57</v>
      </c>
      <c r="L63" s="116" t="s">
        <v>110</v>
      </c>
      <c r="M63" s="116"/>
      <c r="N63" s="116"/>
      <c r="P63" s="100" t="s">
        <v>111</v>
      </c>
      <c r="Q63" s="100"/>
      <c r="R63" s="100"/>
      <c r="S63" s="100"/>
    </row>
    <row r="64" spans="2:19" x14ac:dyDescent="0.35">
      <c r="B64" t="s">
        <v>74</v>
      </c>
      <c r="L64" s="3" t="s">
        <v>65</v>
      </c>
      <c r="M64" s="111">
        <f>D40-C40</f>
        <v>-21243480</v>
      </c>
      <c r="N64" s="112"/>
      <c r="P64" s="3" t="s">
        <v>65</v>
      </c>
      <c r="Q64" s="113">
        <f>D55-C55</f>
        <v>0</v>
      </c>
      <c r="R64" s="114"/>
      <c r="S64" s="115"/>
    </row>
    <row r="65" spans="2:19" x14ac:dyDescent="0.35">
      <c r="L65" s="3" t="s">
        <v>66</v>
      </c>
      <c r="M65" s="111">
        <f>E40-C40</f>
        <v>-59629740</v>
      </c>
      <c r="N65" s="112"/>
      <c r="P65" s="3" t="s">
        <v>66</v>
      </c>
      <c r="Q65" s="113">
        <f>E55-C55</f>
        <v>-30000000</v>
      </c>
      <c r="R65" s="114"/>
      <c r="S65" s="115"/>
    </row>
    <row r="66" spans="2:19" x14ac:dyDescent="0.35">
      <c r="L66" s="3" t="s">
        <v>5</v>
      </c>
      <c r="M66" s="111">
        <f>F40-C40</f>
        <v>-23218440</v>
      </c>
      <c r="N66" s="112"/>
      <c r="P66" s="3" t="s">
        <v>5</v>
      </c>
      <c r="Q66" s="113">
        <f>F55-C55</f>
        <v>0</v>
      </c>
      <c r="R66" s="114"/>
      <c r="S66" s="115"/>
    </row>
    <row r="67" spans="2:19" x14ac:dyDescent="0.35">
      <c r="L67" s="3" t="s">
        <v>6</v>
      </c>
      <c r="M67" s="111">
        <f>G40-C40</f>
        <v>-100990380</v>
      </c>
      <c r="N67" s="112"/>
      <c r="P67" s="3" t="s">
        <v>6</v>
      </c>
      <c r="Q67" s="113">
        <f>G55-C55</f>
        <v>89000000</v>
      </c>
      <c r="R67" s="114"/>
      <c r="S67" s="115"/>
    </row>
    <row r="68" spans="2:19" x14ac:dyDescent="0.35">
      <c r="B68" t="s">
        <v>65</v>
      </c>
      <c r="C68" t="s">
        <v>59</v>
      </c>
      <c r="L68" s="3" t="s">
        <v>7</v>
      </c>
      <c r="M68" s="111">
        <f>H40-C40</f>
        <v>-5698080</v>
      </c>
      <c r="N68" s="112"/>
      <c r="P68" s="3" t="s">
        <v>7</v>
      </c>
      <c r="Q68" s="113">
        <f>H55-C55</f>
        <v>-96000000</v>
      </c>
      <c r="R68" s="114"/>
      <c r="S68" s="115"/>
    </row>
    <row r="69" spans="2:19" x14ac:dyDescent="0.35">
      <c r="B69" t="s">
        <v>66</v>
      </c>
      <c r="C69" t="s">
        <v>60</v>
      </c>
      <c r="L69" s="3" t="s">
        <v>63</v>
      </c>
      <c r="M69" s="111">
        <f>I40-C40</f>
        <v>-28916520</v>
      </c>
      <c r="N69" s="112"/>
      <c r="P69" s="3" t="s">
        <v>63</v>
      </c>
      <c r="Q69" s="113">
        <f>I55-C55</f>
        <v>-96000000</v>
      </c>
      <c r="R69" s="114"/>
      <c r="S69" s="115"/>
    </row>
    <row r="70" spans="2:19" x14ac:dyDescent="0.35">
      <c r="B70" t="s">
        <v>5</v>
      </c>
      <c r="C70" t="s">
        <v>61</v>
      </c>
      <c r="L70" s="3" t="s">
        <v>67</v>
      </c>
      <c r="M70" s="111">
        <f>M64+M65</f>
        <v>-80873220</v>
      </c>
      <c r="N70" s="112"/>
      <c r="P70" s="3" t="s">
        <v>67</v>
      </c>
      <c r="Q70" s="113">
        <f>Q64+Q65</f>
        <v>-30000000</v>
      </c>
      <c r="R70" s="114"/>
      <c r="S70" s="115"/>
    </row>
    <row r="71" spans="2:19" x14ac:dyDescent="0.35">
      <c r="B71" t="s">
        <v>6</v>
      </c>
      <c r="C71" t="s">
        <v>62</v>
      </c>
      <c r="L71" s="3" t="s">
        <v>68</v>
      </c>
      <c r="M71" s="111">
        <f>M64+M66</f>
        <v>-44461920</v>
      </c>
      <c r="N71" s="112"/>
      <c r="P71" s="3" t="s">
        <v>68</v>
      </c>
      <c r="Q71" s="113">
        <f>Q64+Q66</f>
        <v>0</v>
      </c>
      <c r="R71" s="114"/>
      <c r="S71" s="115"/>
    </row>
    <row r="72" spans="2:19" x14ac:dyDescent="0.35">
      <c r="B72" t="s">
        <v>7</v>
      </c>
      <c r="C72" t="s">
        <v>64</v>
      </c>
      <c r="L72" s="3" t="s">
        <v>69</v>
      </c>
      <c r="M72" s="111">
        <f>M64+M68</f>
        <v>-26941560</v>
      </c>
      <c r="N72" s="112"/>
      <c r="P72" s="3" t="s">
        <v>69</v>
      </c>
      <c r="Q72" s="113">
        <f>Q64+Q68</f>
        <v>-96000000</v>
      </c>
      <c r="R72" s="114"/>
      <c r="S72" s="115"/>
    </row>
    <row r="73" spans="2:19" x14ac:dyDescent="0.35">
      <c r="B73" t="s">
        <v>63</v>
      </c>
      <c r="C73" t="s">
        <v>71</v>
      </c>
      <c r="L73" s="3" t="s">
        <v>73</v>
      </c>
      <c r="M73" s="111">
        <f>M64+M69</f>
        <v>-50160000</v>
      </c>
      <c r="N73" s="112"/>
      <c r="P73" s="3" t="s">
        <v>73</v>
      </c>
      <c r="Q73" s="113">
        <f>Q64+Q69</f>
        <v>-96000000</v>
      </c>
      <c r="R73" s="114"/>
      <c r="S73" s="115"/>
    </row>
    <row r="74" spans="2:19" x14ac:dyDescent="0.35">
      <c r="L74" s="3" t="s">
        <v>75</v>
      </c>
      <c r="M74" s="111">
        <f>M64+M66+M68</f>
        <v>-50160000</v>
      </c>
      <c r="N74" s="112"/>
      <c r="P74" s="3" t="s">
        <v>75</v>
      </c>
      <c r="Q74" s="113">
        <f>Q64+Q66+Q68</f>
        <v>-96000000</v>
      </c>
      <c r="R74" s="114"/>
      <c r="S74" s="115"/>
    </row>
    <row r="75" spans="2:19" x14ac:dyDescent="0.35">
      <c r="L75" s="3" t="s">
        <v>72</v>
      </c>
      <c r="M75" s="111">
        <f>M67+M69</f>
        <v>-129906900</v>
      </c>
      <c r="N75" s="112"/>
      <c r="P75" s="3" t="s">
        <v>72</v>
      </c>
      <c r="Q75" s="113">
        <f>Q67+Q69</f>
        <v>-7000000</v>
      </c>
      <c r="R75" s="114"/>
      <c r="S75" s="115"/>
    </row>
  </sheetData>
  <mergeCells count="62">
    <mergeCell ref="R60:S60"/>
    <mergeCell ref="L47:N47"/>
    <mergeCell ref="M48:N48"/>
    <mergeCell ref="M49:N49"/>
    <mergeCell ref="M50:N50"/>
    <mergeCell ref="M51:N51"/>
    <mergeCell ref="M59:N59"/>
    <mergeCell ref="M52:N52"/>
    <mergeCell ref="M58:N58"/>
    <mergeCell ref="M53:N53"/>
    <mergeCell ref="M55:N55"/>
    <mergeCell ref="M56:N56"/>
    <mergeCell ref="M57:N57"/>
    <mergeCell ref="M54:N54"/>
    <mergeCell ref="M60:N60"/>
    <mergeCell ref="L14:M14"/>
    <mergeCell ref="L15:M15"/>
    <mergeCell ref="L17:M17"/>
    <mergeCell ref="L18:M18"/>
    <mergeCell ref="L20:M20"/>
    <mergeCell ref="O21:R22"/>
    <mergeCell ref="R59:S59"/>
    <mergeCell ref="R52:S52"/>
    <mergeCell ref="R53:S53"/>
    <mergeCell ref="R55:S55"/>
    <mergeCell ref="R56:S56"/>
    <mergeCell ref="R57:S57"/>
    <mergeCell ref="P47:S47"/>
    <mergeCell ref="R48:S48"/>
    <mergeCell ref="R49:S49"/>
    <mergeCell ref="R50:S50"/>
    <mergeCell ref="R51:S51"/>
    <mergeCell ref="L31:S31"/>
    <mergeCell ref="L21:M21"/>
    <mergeCell ref="L24:M24"/>
    <mergeCell ref="L25:M25"/>
    <mergeCell ref="M71:N71"/>
    <mergeCell ref="M65:N65"/>
    <mergeCell ref="P63:S63"/>
    <mergeCell ref="Q64:S64"/>
    <mergeCell ref="Q65:S65"/>
    <mergeCell ref="M66:N66"/>
    <mergeCell ref="L63:N63"/>
    <mergeCell ref="M64:N64"/>
    <mergeCell ref="M69:N69"/>
    <mergeCell ref="M70:N70"/>
    <mergeCell ref="M72:N72"/>
    <mergeCell ref="M73:N73"/>
    <mergeCell ref="M74:N74"/>
    <mergeCell ref="M75:N75"/>
    <mergeCell ref="Q66:S66"/>
    <mergeCell ref="Q67:S67"/>
    <mergeCell ref="Q68:S68"/>
    <mergeCell ref="Q69:S69"/>
    <mergeCell ref="Q70:S70"/>
    <mergeCell ref="Q71:S71"/>
    <mergeCell ref="Q72:S72"/>
    <mergeCell ref="Q73:S73"/>
    <mergeCell ref="Q74:S74"/>
    <mergeCell ref="Q75:S75"/>
    <mergeCell ref="M67:N67"/>
    <mergeCell ref="M68:N68"/>
  </mergeCells>
  <phoneticPr fontId="3" type="noConversion"/>
  <pageMargins left="0.7" right="0.7" top="0.75" bottom="0.75" header="0.3" footer="0.3"/>
  <pageSetup paperSize="9" scale="2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1EFE2-0AB4-4FFD-B193-491C81EEDA7A}">
  <sheetPr>
    <pageSetUpPr fitToPage="1"/>
  </sheetPr>
  <dimension ref="B2:J27"/>
  <sheetViews>
    <sheetView tabSelected="1" topLeftCell="A5" zoomScaleNormal="100" workbookViewId="0">
      <selection activeCell="I18" sqref="I18"/>
    </sheetView>
  </sheetViews>
  <sheetFormatPr baseColWidth="10" defaultColWidth="11.453125" defaultRowHeight="14.5" x14ac:dyDescent="0.35"/>
  <cols>
    <col min="1" max="1" width="5.1796875" customWidth="1"/>
    <col min="2" max="2" width="16.7265625" customWidth="1"/>
    <col min="3" max="3" width="11.54296875" customWidth="1"/>
    <col min="4" max="4" width="10" customWidth="1"/>
    <col min="5" max="5" width="13.1796875" customWidth="1"/>
    <col min="6" max="6" width="13.453125" customWidth="1"/>
    <col min="7" max="7" width="16.54296875" customWidth="1"/>
    <col min="8" max="8" width="12.453125" customWidth="1"/>
    <col min="9" max="9" width="12.7265625" customWidth="1"/>
    <col min="10" max="10" width="15.54296875" customWidth="1"/>
    <col min="11" max="11" width="17" customWidth="1"/>
  </cols>
  <sheetData>
    <row r="2" spans="2:10" ht="105" customHeight="1" x14ac:dyDescent="0.35">
      <c r="B2" s="134" t="s">
        <v>109</v>
      </c>
      <c r="C2" s="135"/>
      <c r="D2" s="135"/>
      <c r="E2" s="135"/>
      <c r="F2" s="135"/>
      <c r="G2" s="135"/>
      <c r="H2" s="135"/>
      <c r="I2" s="135"/>
      <c r="J2" s="136"/>
    </row>
    <row r="3" spans="2:10" ht="105" customHeight="1" x14ac:dyDescent="0.35"/>
    <row r="4" spans="2:10" ht="94.5" customHeight="1" x14ac:dyDescent="0.35">
      <c r="B4" s="134" t="s">
        <v>93</v>
      </c>
      <c r="C4" s="135"/>
      <c r="D4" s="135"/>
      <c r="E4" s="135"/>
      <c r="F4" s="135"/>
      <c r="G4" s="135"/>
      <c r="H4" s="135"/>
      <c r="I4" s="135"/>
      <c r="J4" s="136"/>
    </row>
    <row r="5" spans="2:10" ht="105" customHeight="1" x14ac:dyDescent="0.35"/>
    <row r="6" spans="2:10" ht="62.25" customHeight="1" x14ac:dyDescent="0.35">
      <c r="B6" s="134" t="s">
        <v>92</v>
      </c>
      <c r="C6" s="135"/>
      <c r="D6" s="135"/>
      <c r="E6" s="135"/>
      <c r="F6" s="135"/>
      <c r="G6" s="135"/>
      <c r="H6" s="135"/>
      <c r="I6" s="135"/>
      <c r="J6" s="136"/>
    </row>
    <row r="7" spans="2:10" ht="105" customHeight="1" thickBot="1" x14ac:dyDescent="0.4"/>
    <row r="8" spans="2:10" ht="30" customHeight="1" x14ac:dyDescent="0.35">
      <c r="B8" s="144" t="s">
        <v>0</v>
      </c>
      <c r="C8" s="142" t="s">
        <v>84</v>
      </c>
      <c r="D8" s="142" t="s">
        <v>76</v>
      </c>
      <c r="E8" s="139" t="s">
        <v>80</v>
      </c>
      <c r="F8" s="140"/>
      <c r="G8" s="141"/>
      <c r="H8" s="146"/>
      <c r="I8" s="146"/>
      <c r="J8" s="146"/>
    </row>
    <row r="9" spans="2:10" ht="46.5" customHeight="1" thickBot="1" x14ac:dyDescent="0.4">
      <c r="B9" s="145"/>
      <c r="C9" s="143"/>
      <c r="D9" s="143"/>
      <c r="E9" s="62" t="s">
        <v>81</v>
      </c>
      <c r="F9" s="36" t="s">
        <v>82</v>
      </c>
      <c r="G9" s="48" t="s">
        <v>83</v>
      </c>
      <c r="I9" s="92"/>
      <c r="J9" s="93"/>
    </row>
    <row r="10" spans="2:10" x14ac:dyDescent="0.35">
      <c r="B10" s="37" t="s">
        <v>8</v>
      </c>
      <c r="C10" s="42">
        <f>2379+156</f>
        <v>2535</v>
      </c>
      <c r="D10" s="45">
        <v>12498</v>
      </c>
      <c r="E10" s="56">
        <v>750</v>
      </c>
      <c r="F10" s="38">
        <v>0</v>
      </c>
      <c r="G10" s="59">
        <f>(C10*E10)+(D10*F10)</f>
        <v>1901250</v>
      </c>
      <c r="H10" s="74"/>
      <c r="I10" s="92">
        <f>(C10*1500)+(D10*35)</f>
        <v>4239930</v>
      </c>
      <c r="J10" s="93">
        <f>G10/I10</f>
        <v>0.44841542195272094</v>
      </c>
    </row>
    <row r="11" spans="2:10" x14ac:dyDescent="0.35">
      <c r="B11" s="39" t="s">
        <v>10</v>
      </c>
      <c r="C11" s="43">
        <v>1678</v>
      </c>
      <c r="D11" s="46">
        <v>5060</v>
      </c>
      <c r="E11" s="57">
        <v>750</v>
      </c>
      <c r="F11" s="35">
        <v>0</v>
      </c>
      <c r="G11" s="60">
        <f>(C11*E11)+(D11*F11)</f>
        <v>1258500</v>
      </c>
      <c r="H11" s="74"/>
      <c r="I11" s="92">
        <f>(C11*1500)+(D11*35)</f>
        <v>2694100</v>
      </c>
      <c r="J11" s="93">
        <f>G11/I11</f>
        <v>0.46713188077651163</v>
      </c>
    </row>
    <row r="12" spans="2:10" x14ac:dyDescent="0.35">
      <c r="B12" s="39" t="s">
        <v>25</v>
      </c>
      <c r="C12" s="43">
        <v>2649</v>
      </c>
      <c r="D12" s="46">
        <v>9405</v>
      </c>
      <c r="E12" s="57">
        <v>750</v>
      </c>
      <c r="F12" s="35">
        <v>0</v>
      </c>
      <c r="G12" s="60">
        <f>(C12*E12)+(D12*F12)</f>
        <v>1986750</v>
      </c>
      <c r="H12" s="74"/>
      <c r="I12" s="92">
        <f>(C12*1500)+(D12*35)</f>
        <v>4302675</v>
      </c>
      <c r="J12" s="93">
        <f>G12/I12</f>
        <v>0.46174763373947603</v>
      </c>
    </row>
    <row r="13" spans="2:10" ht="15" thickBot="1" x14ac:dyDescent="0.4">
      <c r="B13" s="40" t="s">
        <v>18</v>
      </c>
      <c r="C13" s="44">
        <v>1834</v>
      </c>
      <c r="D13" s="47">
        <v>4907</v>
      </c>
      <c r="E13" s="58">
        <v>750</v>
      </c>
      <c r="F13" s="41">
        <v>0</v>
      </c>
      <c r="G13" s="61">
        <f>(C13*E13)+(D13*F13)</f>
        <v>1375500</v>
      </c>
      <c r="H13" s="74"/>
      <c r="I13" s="92">
        <f>(C13*1500)+(D13*35)</f>
        <v>2922745</v>
      </c>
      <c r="J13" s="93">
        <f>G13/I13</f>
        <v>0.47061922952566848</v>
      </c>
    </row>
    <row r="14" spans="2:10" ht="15" thickBot="1" x14ac:dyDescent="0.4"/>
    <row r="15" spans="2:10" ht="15" customHeight="1" x14ac:dyDescent="0.35">
      <c r="B15" s="137" t="s">
        <v>0</v>
      </c>
      <c r="C15" s="137" t="s">
        <v>84</v>
      </c>
      <c r="D15" s="137" t="s">
        <v>76</v>
      </c>
      <c r="E15" s="139" t="s">
        <v>85</v>
      </c>
      <c r="F15" s="140"/>
      <c r="G15" s="141"/>
    </row>
    <row r="16" spans="2:10" ht="44" thickBot="1" x14ac:dyDescent="0.4">
      <c r="B16" s="138"/>
      <c r="C16" s="138"/>
      <c r="D16" s="138"/>
      <c r="E16" s="62" t="s">
        <v>81</v>
      </c>
      <c r="F16" s="36" t="s">
        <v>82</v>
      </c>
      <c r="G16" s="48" t="s">
        <v>83</v>
      </c>
    </row>
    <row r="17" spans="2:10" x14ac:dyDescent="0.35">
      <c r="B17" s="63" t="s">
        <v>8</v>
      </c>
      <c r="C17" s="64">
        <f>2379+156</f>
        <v>2535</v>
      </c>
      <c r="D17" s="65">
        <v>12498</v>
      </c>
      <c r="E17" s="56">
        <f>$E$26</f>
        <v>345.17543859649123</v>
      </c>
      <c r="F17" s="38">
        <f>35*0.25</f>
        <v>8.75</v>
      </c>
      <c r="G17" s="59">
        <f>(C17*E17)+(D17*F17)</f>
        <v>984377.23684210528</v>
      </c>
      <c r="I17" s="92">
        <f>(C17*1500)+(D17*35)</f>
        <v>4239930</v>
      </c>
      <c r="J17" s="93">
        <f>G17/I17</f>
        <v>0.23216827561825437</v>
      </c>
    </row>
    <row r="18" spans="2:10" x14ac:dyDescent="0.35">
      <c r="B18" s="66" t="s">
        <v>10</v>
      </c>
      <c r="C18" s="67">
        <v>1678</v>
      </c>
      <c r="D18" s="68">
        <v>5060</v>
      </c>
      <c r="E18" s="57">
        <f>$E$26</f>
        <v>345.17543859649123</v>
      </c>
      <c r="F18" s="35">
        <f>35*0.25</f>
        <v>8.75</v>
      </c>
      <c r="G18" s="60">
        <f>(C18*E18)+(D18*F18)</f>
        <v>623479.38596491225</v>
      </c>
      <c r="I18" s="92">
        <f>(C18*1500)+(D18*35)</f>
        <v>2694100</v>
      </c>
      <c r="J18" s="93">
        <f>G18/I18</f>
        <v>0.23142399538432584</v>
      </c>
    </row>
    <row r="19" spans="2:10" x14ac:dyDescent="0.35">
      <c r="B19" s="66" t="s">
        <v>25</v>
      </c>
      <c r="C19" s="67">
        <v>2649</v>
      </c>
      <c r="D19" s="68">
        <v>9405</v>
      </c>
      <c r="E19" s="57">
        <f>$E$26</f>
        <v>345.17543859649123</v>
      </c>
      <c r="F19" s="35">
        <f>35*0.25</f>
        <v>8.75</v>
      </c>
      <c r="G19" s="60">
        <f>(C19*E19)+(D19*F19)</f>
        <v>996663.48684210528</v>
      </c>
      <c r="I19" s="92">
        <f>(C19*1500)+(D19*35)</f>
        <v>4302675</v>
      </c>
      <c r="J19" s="93">
        <f>G19/I19</f>
        <v>0.23163810579281616</v>
      </c>
    </row>
    <row r="20" spans="2:10" ht="15" thickBot="1" x14ac:dyDescent="0.4">
      <c r="B20" s="69" t="s">
        <v>18</v>
      </c>
      <c r="C20" s="70">
        <v>1834</v>
      </c>
      <c r="D20" s="71">
        <v>4907</v>
      </c>
      <c r="E20" s="58">
        <f>$E$26</f>
        <v>345.17543859649123</v>
      </c>
      <c r="F20" s="41">
        <f>35*0.25</f>
        <v>8.75</v>
      </c>
      <c r="G20" s="61">
        <f>(C20*E20)+(D20*F20)</f>
        <v>675988.00438596494</v>
      </c>
      <c r="I20" s="92">
        <f>(C20*1500)+(D20*35)</f>
        <v>2922745</v>
      </c>
      <c r="J20" s="93">
        <f>G20/I20</f>
        <v>0.23128531718845297</v>
      </c>
    </row>
    <row r="21" spans="2:10" x14ac:dyDescent="0.35">
      <c r="B21" s="34"/>
      <c r="I21" s="92"/>
      <c r="J21" s="93"/>
    </row>
    <row r="22" spans="2:10" x14ac:dyDescent="0.35">
      <c r="B22" s="49" t="s">
        <v>91</v>
      </c>
    </row>
    <row r="23" spans="2:10" x14ac:dyDescent="0.35">
      <c r="B23" t="s">
        <v>86</v>
      </c>
    </row>
    <row r="25" spans="2:10" ht="29" x14ac:dyDescent="0.35">
      <c r="B25" s="52" t="s">
        <v>87</v>
      </c>
      <c r="C25" s="53" t="s">
        <v>88</v>
      </c>
      <c r="D25" s="54" t="s">
        <v>89</v>
      </c>
      <c r="E25" s="55" t="s">
        <v>90</v>
      </c>
    </row>
    <row r="26" spans="2:10" x14ac:dyDescent="0.35">
      <c r="B26" s="50">
        <v>2022</v>
      </c>
      <c r="C26" s="51">
        <v>193000</v>
      </c>
      <c r="D26" s="51">
        <f>C26/570</f>
        <v>338.59649122807019</v>
      </c>
      <c r="E26" s="133">
        <f>SUM(D26:D27)/2</f>
        <v>345.17543859649123</v>
      </c>
    </row>
    <row r="27" spans="2:10" x14ac:dyDescent="0.35">
      <c r="B27" s="50">
        <v>2023</v>
      </c>
      <c r="C27" s="51">
        <v>200500</v>
      </c>
      <c r="D27" s="51">
        <f>C27/570</f>
        <v>351.75438596491227</v>
      </c>
      <c r="E27" s="133"/>
    </row>
  </sheetData>
  <mergeCells count="13">
    <mergeCell ref="E26:E27"/>
    <mergeCell ref="B2:J2"/>
    <mergeCell ref="B4:J4"/>
    <mergeCell ref="B6:J6"/>
    <mergeCell ref="B15:B16"/>
    <mergeCell ref="C15:C16"/>
    <mergeCell ref="D15:D16"/>
    <mergeCell ref="E15:G15"/>
    <mergeCell ref="D8:D9"/>
    <mergeCell ref="C8:C9"/>
    <mergeCell ref="B8:B9"/>
    <mergeCell ref="E8:G8"/>
    <mergeCell ref="H8:J8"/>
  </mergeCells>
  <pageMargins left="0.7" right="0.7" top="0.75" bottom="0.75" header="0.3" footer="0.3"/>
  <pageSetup paperSize="9"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31830385B57142A440AA715FFBD014" ma:contentTypeVersion="12" ma:contentTypeDescription="Opprett et nytt dokument." ma:contentTypeScope="" ma:versionID="fd3225e9a4dcc17fed5eac918d99e8f8">
  <xsd:schema xmlns:xsd="http://www.w3.org/2001/XMLSchema" xmlns:xs="http://www.w3.org/2001/XMLSchema" xmlns:p="http://schemas.microsoft.com/office/2006/metadata/properties" xmlns:ns2="e346381d-3b8e-4d5d-a5dc-01563a8d7b83" xmlns:ns3="1326a612-946d-4f92-ab78-bf2ae9f0b3d8" targetNamespace="http://schemas.microsoft.com/office/2006/metadata/properties" ma:root="true" ma:fieldsID="794ec5af540133227e83b69294e7c3dc" ns2:_="" ns3:_="">
    <xsd:import namespace="e346381d-3b8e-4d5d-a5dc-01563a8d7b83"/>
    <xsd:import namespace="1326a612-946d-4f92-ab78-bf2ae9f0b3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6381d-3b8e-4d5d-a5dc-01563a8d7b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2d3d3829-c886-45d9-be25-144c0f4b3e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6a612-946d-4f92-ab78-bf2ae9f0b3d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7b1c53-2784-425c-95a0-93dda4bd6c83}" ma:internalName="TaxCatchAll" ma:showField="CatchAllData" ma:web="1326a612-946d-4f92-ab78-bf2ae9f0b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26a612-946d-4f92-ab78-bf2ae9f0b3d8" xsi:nil="true"/>
    <lcf76f155ced4ddcb4097134ff3c332f xmlns="e346381d-3b8e-4d5d-a5dc-01563a8d7b8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6D5099-B851-4C7D-9255-305E11BC3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46381d-3b8e-4d5d-a5dc-01563a8d7b83"/>
    <ds:schemaRef ds:uri="1326a612-946d-4f92-ab78-bf2ae9f0b3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F2301A-C3A9-4AD6-8E74-1E513B1A70C2}">
  <ds:schemaRefs>
    <ds:schemaRef ds:uri="e346381d-3b8e-4d5d-a5dc-01563a8d7b83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1326a612-946d-4f92-ab78-bf2ae9f0b3d8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3688310-0EB5-4E65-8B90-FC6EEAE660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Skoledrift</vt:lpstr>
      <vt:lpstr>Skolebygg og oppsummering</vt:lpstr>
      <vt:lpstr>Etterbruk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Trond Arne Børresen</dc:creator>
  <cp:keywords/>
  <dc:description/>
  <cp:lastModifiedBy>Trond Arne Børresen</cp:lastModifiedBy>
  <cp:revision/>
  <cp:lastPrinted>2024-09-23T20:24:43Z</cp:lastPrinted>
  <dcterms:created xsi:type="dcterms:W3CDTF">2021-05-19T11:31:05Z</dcterms:created>
  <dcterms:modified xsi:type="dcterms:W3CDTF">2024-09-24T11:14:05Z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0x010100A431830385B57142A440AA715FFBD014</vt:lpwstr>
  </property>
</Properties>
</file>